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4FY\"/>
    </mc:Choice>
  </mc:AlternateContent>
  <bookViews>
    <workbookView xWindow="-30" yWindow="75" windowWidth="13755" windowHeight="13155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Games'!$A$1:$L$65</definedName>
    <definedName name="_xlnm.Print_Area" localSheetId="2">Video!$A$1:$K$65</definedName>
    <definedName name="_xlnm.Print_Area" localSheetId="0">'Weekly Summary'!$A$1:$N$68</definedName>
  </definedNames>
  <calcPr calcId="162913"/>
</workbook>
</file>

<file path=xl/calcChain.xml><?xml version="1.0" encoding="utf-8"?>
<calcChain xmlns="http://schemas.openxmlformats.org/spreadsheetml/2006/main">
  <c r="H62" i="3" l="1"/>
  <c r="G62" i="3"/>
  <c r="F62" i="3"/>
  <c r="E62" i="3"/>
  <c r="D62" i="3"/>
  <c r="C62" i="3"/>
  <c r="B62" i="3"/>
  <c r="I61" i="2"/>
  <c r="L61" i="2" s="1"/>
  <c r="E59" i="1"/>
  <c r="J59" i="1" s="1"/>
  <c r="E58" i="1"/>
  <c r="F58" i="1"/>
  <c r="G58" i="1"/>
  <c r="H58" i="1"/>
  <c r="I58" i="1"/>
  <c r="J58" i="1"/>
  <c r="I62" i="3" l="1"/>
  <c r="I59" i="1"/>
  <c r="N62" i="3" s="1"/>
  <c r="J62" i="3"/>
  <c r="F59" i="1"/>
  <c r="J61" i="2"/>
  <c r="K61" i="2"/>
  <c r="G59" i="1"/>
  <c r="L62" i="3" s="1"/>
  <c r="H59" i="1"/>
  <c r="M62" i="3" s="1"/>
  <c r="N61" i="3"/>
  <c r="M61" i="3"/>
  <c r="J61" i="3"/>
  <c r="I61" i="3"/>
  <c r="H61" i="3"/>
  <c r="G61" i="3"/>
  <c r="F61" i="3"/>
  <c r="E61" i="3"/>
  <c r="D61" i="3"/>
  <c r="C61" i="3"/>
  <c r="B61" i="3"/>
  <c r="K62" i="3" l="1"/>
  <c r="I60" i="2"/>
  <c r="L60" i="2" s="1"/>
  <c r="J60" i="2" l="1"/>
  <c r="K61" i="3" s="1"/>
  <c r="K60" i="2"/>
  <c r="L61" i="3" s="1"/>
  <c r="I57" i="1"/>
  <c r="H57" i="1"/>
  <c r="F57" i="1"/>
  <c r="H60" i="3"/>
  <c r="G60" i="3"/>
  <c r="F60" i="3"/>
  <c r="E60" i="3"/>
  <c r="D60" i="3"/>
  <c r="C60" i="3"/>
  <c r="B60" i="3"/>
  <c r="I59" i="2"/>
  <c r="L59" i="2" s="1"/>
  <c r="E57" i="1"/>
  <c r="I60" i="3" l="1"/>
  <c r="M60" i="3"/>
  <c r="J60" i="3"/>
  <c r="J59" i="2"/>
  <c r="K60" i="3" s="1"/>
  <c r="K59" i="2"/>
  <c r="G57" i="1"/>
  <c r="N60" i="3"/>
  <c r="J57" i="1"/>
  <c r="H59" i="3"/>
  <c r="G59" i="3"/>
  <c r="F59" i="3"/>
  <c r="E59" i="3"/>
  <c r="D59" i="3"/>
  <c r="C59" i="3"/>
  <c r="B59" i="3"/>
  <c r="E56" i="1"/>
  <c r="J59" i="3" s="1"/>
  <c r="I58" i="2"/>
  <c r="J58" i="2" s="1"/>
  <c r="L60" i="3" l="1"/>
  <c r="I59" i="3"/>
  <c r="I56" i="1"/>
  <c r="J56" i="1"/>
  <c r="F56" i="1"/>
  <c r="K59" i="3" s="1"/>
  <c r="G56" i="1"/>
  <c r="H56" i="1"/>
  <c r="M59" i="3" s="1"/>
  <c r="L58" i="2"/>
  <c r="K58" i="2"/>
  <c r="N58" i="3"/>
  <c r="M58" i="3"/>
  <c r="J58" i="3"/>
  <c r="I58" i="3"/>
  <c r="H58" i="3"/>
  <c r="G58" i="3"/>
  <c r="F58" i="3"/>
  <c r="E58" i="3"/>
  <c r="D58" i="3"/>
  <c r="C58" i="3"/>
  <c r="B58" i="3"/>
  <c r="L59" i="3" l="1"/>
  <c r="N59" i="3"/>
  <c r="I55" i="1"/>
  <c r="H55" i="1"/>
  <c r="G55" i="1"/>
  <c r="E55" i="1" l="1"/>
  <c r="I57" i="2"/>
  <c r="J57" i="2" s="1"/>
  <c r="K58" i="3" s="1"/>
  <c r="J55" i="1" l="1"/>
  <c r="F55" i="1"/>
  <c r="K57" i="2"/>
  <c r="L58" i="3" s="1"/>
  <c r="L57" i="2"/>
  <c r="H57" i="3" l="1"/>
  <c r="G57" i="3"/>
  <c r="F57" i="3"/>
  <c r="E57" i="3"/>
  <c r="D57" i="3"/>
  <c r="C57" i="3"/>
  <c r="B57" i="3"/>
  <c r="E54" i="1"/>
  <c r="L56" i="2"/>
  <c r="I56" i="2"/>
  <c r="I57" i="3" s="1"/>
  <c r="J54" i="1" l="1"/>
  <c r="I54" i="1"/>
  <c r="F54" i="1"/>
  <c r="J57" i="3"/>
  <c r="G54" i="1"/>
  <c r="H54" i="1"/>
  <c r="M57" i="3" s="1"/>
  <c r="N57" i="3"/>
  <c r="J56" i="2"/>
  <c r="K57" i="3" s="1"/>
  <c r="K56" i="2"/>
  <c r="L55" i="2"/>
  <c r="L57" i="3" l="1"/>
  <c r="H56" i="3"/>
  <c r="G56" i="3"/>
  <c r="F56" i="3"/>
  <c r="E56" i="3"/>
  <c r="D56" i="3"/>
  <c r="C56" i="3"/>
  <c r="B56" i="3"/>
  <c r="E53" i="1"/>
  <c r="J56" i="3" s="1"/>
  <c r="I55" i="2"/>
  <c r="J55" i="2" s="1"/>
  <c r="G53" i="1" l="1"/>
  <c r="I56" i="3"/>
  <c r="H53" i="1"/>
  <c r="M56" i="3" s="1"/>
  <c r="I53" i="1"/>
  <c r="J53" i="1"/>
  <c r="F53" i="1"/>
  <c r="K56" i="3" s="1"/>
  <c r="K55" i="2"/>
  <c r="L56" i="3" s="1"/>
  <c r="L54" i="2"/>
  <c r="N56" i="3" l="1"/>
  <c r="H55" i="3"/>
  <c r="G55" i="3"/>
  <c r="F55" i="3"/>
  <c r="E55" i="3"/>
  <c r="D55" i="3"/>
  <c r="C55" i="3"/>
  <c r="B55" i="3"/>
  <c r="E52" i="1"/>
  <c r="J52" i="1" s="1"/>
  <c r="I54" i="2"/>
  <c r="G52" i="1" l="1"/>
  <c r="H52" i="1"/>
  <c r="I52" i="1"/>
  <c r="I55" i="3"/>
  <c r="M55" i="3"/>
  <c r="F52" i="1"/>
  <c r="J55" i="3"/>
  <c r="N55" i="3"/>
  <c r="J54" i="2"/>
  <c r="K54" i="2"/>
  <c r="L55" i="3" l="1"/>
  <c r="K55" i="3"/>
  <c r="H54" i="3"/>
  <c r="G54" i="3"/>
  <c r="F54" i="3"/>
  <c r="E54" i="3"/>
  <c r="D54" i="3"/>
  <c r="C54" i="3"/>
  <c r="B54" i="3"/>
  <c r="E51" i="1"/>
  <c r="F51" i="1" s="1"/>
  <c r="I53" i="2"/>
  <c r="J53" i="2" s="1"/>
  <c r="J51" i="1" l="1"/>
  <c r="H51" i="1"/>
  <c r="M54" i="3" s="1"/>
  <c r="I54" i="3"/>
  <c r="G51" i="1"/>
  <c r="I51" i="1"/>
  <c r="K54" i="3"/>
  <c r="J54" i="3"/>
  <c r="K53" i="2"/>
  <c r="L53" i="2"/>
  <c r="N54" i="3" l="1"/>
  <c r="L54" i="3"/>
  <c r="H53" i="3"/>
  <c r="G53" i="3"/>
  <c r="F53" i="3"/>
  <c r="E53" i="3"/>
  <c r="D53" i="3"/>
  <c r="C53" i="3"/>
  <c r="B53" i="3"/>
  <c r="E50" i="1"/>
  <c r="I52" i="2"/>
  <c r="K52" i="2" s="1"/>
  <c r="H50" i="1" l="1"/>
  <c r="I50" i="1"/>
  <c r="G50" i="1"/>
  <c r="F50" i="1"/>
  <c r="M53" i="3"/>
  <c r="I53" i="3"/>
  <c r="J53" i="3"/>
  <c r="L53" i="3"/>
  <c r="J50" i="1"/>
  <c r="L52" i="2"/>
  <c r="J52" i="2"/>
  <c r="K53" i="3" l="1"/>
  <c r="N53" i="3"/>
  <c r="I52" i="3"/>
  <c r="H52" i="3"/>
  <c r="G52" i="3"/>
  <c r="F52" i="3"/>
  <c r="E52" i="3"/>
  <c r="D52" i="3"/>
  <c r="C52" i="3"/>
  <c r="B52" i="3"/>
  <c r="E49" i="1"/>
  <c r="I51" i="2"/>
  <c r="K51" i="2" s="1"/>
  <c r="H49" i="1" l="1"/>
  <c r="M52" i="3" s="1"/>
  <c r="G49" i="1"/>
  <c r="F49" i="1"/>
  <c r="I49" i="1"/>
  <c r="J52" i="3"/>
  <c r="L52" i="3"/>
  <c r="J49" i="1"/>
  <c r="J51" i="2"/>
  <c r="K52" i="3" s="1"/>
  <c r="L51" i="2"/>
  <c r="I48" i="1"/>
  <c r="H51" i="3"/>
  <c r="G51" i="3"/>
  <c r="F51" i="3"/>
  <c r="E51" i="3"/>
  <c r="D51" i="3"/>
  <c r="C51" i="3"/>
  <c r="B51" i="3"/>
  <c r="E48" i="1"/>
  <c r="H48" i="1" s="1"/>
  <c r="M51" i="3" s="1"/>
  <c r="I50" i="2"/>
  <c r="K50" i="2" s="1"/>
  <c r="F48" i="1" l="1"/>
  <c r="G48" i="1"/>
  <c r="N52" i="3"/>
  <c r="L50" i="2"/>
  <c r="I51" i="3"/>
  <c r="J51" i="3"/>
  <c r="N51" i="3"/>
  <c r="J48" i="1"/>
  <c r="L51" i="3"/>
  <c r="J50" i="2"/>
  <c r="L49" i="2"/>
  <c r="K51" i="3" l="1"/>
  <c r="H50" i="3"/>
  <c r="G50" i="3"/>
  <c r="F50" i="3"/>
  <c r="E50" i="3"/>
  <c r="D50" i="3"/>
  <c r="C50" i="3"/>
  <c r="B50" i="3"/>
  <c r="E47" i="1"/>
  <c r="J47" i="1" s="1"/>
  <c r="I49" i="2"/>
  <c r="J49" i="2" s="1"/>
  <c r="I50" i="3" l="1"/>
  <c r="G47" i="1"/>
  <c r="F47" i="1"/>
  <c r="K50" i="3" s="1"/>
  <c r="I47" i="1"/>
  <c r="N50" i="3" s="1"/>
  <c r="H47" i="1"/>
  <c r="M50" i="3" s="1"/>
  <c r="J50" i="3"/>
  <c r="K49" i="2"/>
  <c r="L48" i="2"/>
  <c r="L50" i="3" l="1"/>
  <c r="H49" i="3" l="1"/>
  <c r="G49" i="3"/>
  <c r="F49" i="3"/>
  <c r="E49" i="3"/>
  <c r="D49" i="3"/>
  <c r="C49" i="3"/>
  <c r="B49" i="3"/>
  <c r="E46" i="1"/>
  <c r="I48" i="2"/>
  <c r="I46" i="1" l="1"/>
  <c r="F46" i="1"/>
  <c r="H46" i="1"/>
  <c r="G46" i="1"/>
  <c r="J46" i="1"/>
  <c r="J49" i="3"/>
  <c r="I49" i="3"/>
  <c r="M49" i="3"/>
  <c r="N49" i="3"/>
  <c r="J48" i="2"/>
  <c r="K48" i="2"/>
  <c r="L47" i="2"/>
  <c r="K49" i="3" l="1"/>
  <c r="L49" i="3"/>
  <c r="I48" i="3" l="1"/>
  <c r="H48" i="3"/>
  <c r="G48" i="3"/>
  <c r="F48" i="3"/>
  <c r="E48" i="3"/>
  <c r="D48" i="3"/>
  <c r="C48" i="3"/>
  <c r="B48" i="3"/>
  <c r="E45" i="1"/>
  <c r="I47" i="2"/>
  <c r="F45" i="1" l="1"/>
  <c r="I45" i="1"/>
  <c r="H45" i="1"/>
  <c r="N48" i="3"/>
  <c r="M48" i="3"/>
  <c r="J48" i="3"/>
  <c r="J45" i="1"/>
  <c r="G45" i="1"/>
  <c r="J47" i="2"/>
  <c r="K48" i="3" s="1"/>
  <c r="K47" i="2"/>
  <c r="H47" i="3"/>
  <c r="G47" i="3"/>
  <c r="F47" i="3"/>
  <c r="E47" i="3"/>
  <c r="D47" i="3"/>
  <c r="C47" i="3"/>
  <c r="B47" i="3"/>
  <c r="I46" i="2"/>
  <c r="J46" i="2" s="1"/>
  <c r="E44" i="1"/>
  <c r="I44" i="1" s="1"/>
  <c r="F44" i="1" l="1"/>
  <c r="K47" i="3" s="1"/>
  <c r="J47" i="3"/>
  <c r="L48" i="3"/>
  <c r="I47" i="3"/>
  <c r="K46" i="2"/>
  <c r="L46" i="2"/>
  <c r="N47" i="3" s="1"/>
  <c r="J44" i="1"/>
  <c r="G44" i="1"/>
  <c r="H44" i="1"/>
  <c r="M47" i="3" s="1"/>
  <c r="L47" i="3" l="1"/>
  <c r="H46" i="3"/>
  <c r="G46" i="3"/>
  <c r="F46" i="3"/>
  <c r="E46" i="3"/>
  <c r="D46" i="3"/>
  <c r="C46" i="3"/>
  <c r="B46" i="3"/>
  <c r="E43" i="1"/>
  <c r="I45" i="2"/>
  <c r="L45" i="2" s="1"/>
  <c r="J43" i="1" l="1"/>
  <c r="I43" i="1"/>
  <c r="N46" i="3" s="1"/>
  <c r="J46" i="3"/>
  <c r="H43" i="1"/>
  <c r="M46" i="3" s="1"/>
  <c r="F43" i="1"/>
  <c r="I46" i="3"/>
  <c r="G43" i="1"/>
  <c r="J45" i="2"/>
  <c r="K45" i="2"/>
  <c r="H45" i="3"/>
  <c r="G45" i="3"/>
  <c r="F45" i="3"/>
  <c r="E45" i="3"/>
  <c r="D45" i="3"/>
  <c r="C45" i="3"/>
  <c r="B45" i="3"/>
  <c r="I44" i="2"/>
  <c r="J44" i="2" s="1"/>
  <c r="E42" i="1"/>
  <c r="I42" i="1" s="1"/>
  <c r="F42" i="1" l="1"/>
  <c r="L46" i="3"/>
  <c r="G42" i="1"/>
  <c r="K46" i="3"/>
  <c r="L44" i="2"/>
  <c r="N45" i="3" s="1"/>
  <c r="I45" i="3"/>
  <c r="J45" i="3"/>
  <c r="K44" i="2"/>
  <c r="L45" i="3" s="1"/>
  <c r="J42" i="1"/>
  <c r="K45" i="3"/>
  <c r="H42" i="1"/>
  <c r="M45" i="3" s="1"/>
  <c r="L43" i="2"/>
  <c r="H44" i="3" l="1"/>
  <c r="G44" i="3"/>
  <c r="F44" i="3"/>
  <c r="E44" i="3"/>
  <c r="D44" i="3"/>
  <c r="C44" i="3"/>
  <c r="B44" i="3"/>
  <c r="I43" i="2"/>
  <c r="E41" i="1"/>
  <c r="I41" i="1" s="1"/>
  <c r="G41" i="1" l="1"/>
  <c r="F41" i="1"/>
  <c r="H41" i="1"/>
  <c r="M44" i="3" s="1"/>
  <c r="I44" i="3"/>
  <c r="N44" i="3"/>
  <c r="J44" i="3"/>
  <c r="K43" i="2"/>
  <c r="L44" i="3" s="1"/>
  <c r="J43" i="2"/>
  <c r="K44" i="3" s="1"/>
  <c r="J41" i="1"/>
  <c r="H43" i="3"/>
  <c r="G43" i="3"/>
  <c r="F43" i="3"/>
  <c r="E43" i="3"/>
  <c r="D43" i="3"/>
  <c r="C43" i="3"/>
  <c r="B43" i="3"/>
  <c r="E40" i="1"/>
  <c r="J40" i="1" s="1"/>
  <c r="I42" i="2"/>
  <c r="K42" i="2" s="1"/>
  <c r="J43" i="3" l="1"/>
  <c r="F40" i="1"/>
  <c r="G40" i="1"/>
  <c r="L43" i="3" s="1"/>
  <c r="I40" i="1"/>
  <c r="I43" i="3"/>
  <c r="L42" i="2"/>
  <c r="H40" i="1"/>
  <c r="M43" i="3" s="1"/>
  <c r="J42" i="2"/>
  <c r="I42" i="3"/>
  <c r="H42" i="3"/>
  <c r="G42" i="3"/>
  <c r="F42" i="3"/>
  <c r="E42" i="3"/>
  <c r="D42" i="3"/>
  <c r="C42" i="3"/>
  <c r="B42" i="3"/>
  <c r="L41" i="2"/>
  <c r="N43" i="3" l="1"/>
  <c r="K43" i="3"/>
  <c r="E39" i="1"/>
  <c r="J42" i="3" s="1"/>
  <c r="I41" i="2"/>
  <c r="J41" i="2" s="1"/>
  <c r="G39" i="1" l="1"/>
  <c r="I39" i="1"/>
  <c r="N42" i="3" s="1"/>
  <c r="F39" i="1"/>
  <c r="K42" i="3" s="1"/>
  <c r="J39" i="1"/>
  <c r="H39" i="1"/>
  <c r="M42" i="3" s="1"/>
  <c r="K41" i="2"/>
  <c r="L42" i="3" s="1"/>
  <c r="I38" i="1"/>
  <c r="H41" i="3"/>
  <c r="G41" i="3"/>
  <c r="F41" i="3"/>
  <c r="E41" i="3"/>
  <c r="D41" i="3"/>
  <c r="C41" i="3"/>
  <c r="B41" i="3"/>
  <c r="E38" i="1"/>
  <c r="J38" i="1" s="1"/>
  <c r="I40" i="2"/>
  <c r="L40" i="2" s="1"/>
  <c r="F38" i="1" l="1"/>
  <c r="G38" i="1"/>
  <c r="I41" i="3"/>
  <c r="J41" i="3"/>
  <c r="H38" i="1"/>
  <c r="M41" i="3" s="1"/>
  <c r="N41" i="3"/>
  <c r="J40" i="2"/>
  <c r="K41" i="3" s="1"/>
  <c r="K40" i="2"/>
  <c r="L41" i="3" s="1"/>
  <c r="H40" i="3"/>
  <c r="G40" i="3"/>
  <c r="F40" i="3"/>
  <c r="E40" i="3"/>
  <c r="D40" i="3"/>
  <c r="C40" i="3"/>
  <c r="B40" i="3"/>
  <c r="I39" i="2"/>
  <c r="J39" i="2" s="1"/>
  <c r="E37" i="1"/>
  <c r="F37" i="1" s="1"/>
  <c r="H37" i="1" l="1"/>
  <c r="M40" i="3" s="1"/>
  <c r="L39" i="2"/>
  <c r="I40" i="3"/>
  <c r="K40" i="3"/>
  <c r="J40" i="3"/>
  <c r="K39" i="2"/>
  <c r="G37" i="1"/>
  <c r="I37" i="1"/>
  <c r="J37" i="1"/>
  <c r="I39" i="3"/>
  <c r="H39" i="3"/>
  <c r="G39" i="3"/>
  <c r="F39" i="3"/>
  <c r="E39" i="3"/>
  <c r="D39" i="3"/>
  <c r="C39" i="3"/>
  <c r="B39" i="3"/>
  <c r="L38" i="2"/>
  <c r="N40" i="3" l="1"/>
  <c r="L40" i="3"/>
  <c r="E36" i="1"/>
  <c r="I38" i="2"/>
  <c r="J36" i="1" l="1"/>
  <c r="J39" i="3"/>
  <c r="F36" i="1"/>
  <c r="H36" i="1"/>
  <c r="M39" i="3" s="1"/>
  <c r="G36" i="1"/>
  <c r="I36" i="1"/>
  <c r="N39" i="3" s="1"/>
  <c r="J38" i="2"/>
  <c r="K39" i="3" s="1"/>
  <c r="K38" i="2"/>
  <c r="L39" i="3" s="1"/>
  <c r="I38" i="3"/>
  <c r="H38" i="3"/>
  <c r="G38" i="3"/>
  <c r="F38" i="3"/>
  <c r="E38" i="3"/>
  <c r="D38" i="3"/>
  <c r="C38" i="3"/>
  <c r="B38" i="3"/>
  <c r="E35" i="1" l="1"/>
  <c r="I37" i="2"/>
  <c r="K37" i="2" s="1"/>
  <c r="J35" i="1" l="1"/>
  <c r="J38" i="3"/>
  <c r="I35" i="1"/>
  <c r="N38" i="3" s="1"/>
  <c r="G35" i="1"/>
  <c r="L38" i="3" s="1"/>
  <c r="L37" i="2"/>
  <c r="F35" i="1"/>
  <c r="H35" i="1"/>
  <c r="M38" i="3" s="1"/>
  <c r="J37" i="2"/>
  <c r="K38" i="3" s="1"/>
  <c r="L36" i="2"/>
  <c r="H37" i="3"/>
  <c r="G37" i="3"/>
  <c r="F37" i="3"/>
  <c r="E37" i="3"/>
  <c r="D37" i="3"/>
  <c r="C37" i="3"/>
  <c r="B37" i="3"/>
  <c r="E34" i="1"/>
  <c r="J37" i="3" s="1"/>
  <c r="I36" i="2"/>
  <c r="J36" i="2" s="1"/>
  <c r="G34" i="1" l="1"/>
  <c r="I34" i="1"/>
  <c r="I37" i="3"/>
  <c r="H34" i="1"/>
  <c r="M37" i="3" s="1"/>
  <c r="N37" i="3"/>
  <c r="J34" i="1"/>
  <c r="F34" i="1"/>
  <c r="K37" i="3" s="1"/>
  <c r="K36" i="2"/>
  <c r="L37" i="3" s="1"/>
  <c r="K35" i="2"/>
  <c r="L35" i="2"/>
  <c r="H36" i="3" l="1"/>
  <c r="G36" i="3"/>
  <c r="F36" i="3"/>
  <c r="E36" i="3"/>
  <c r="D36" i="3"/>
  <c r="C36" i="3"/>
  <c r="B36" i="3"/>
  <c r="E33" i="1"/>
  <c r="I35" i="2"/>
  <c r="I33" i="1" l="1"/>
  <c r="H33" i="1"/>
  <c r="M36" i="3" s="1"/>
  <c r="G33" i="1"/>
  <c r="L36" i="3" s="1"/>
  <c r="I36" i="3"/>
  <c r="N36" i="3"/>
  <c r="J36" i="3"/>
  <c r="F33" i="1"/>
  <c r="J33" i="1"/>
  <c r="J35" i="2"/>
  <c r="H35" i="3"/>
  <c r="G35" i="3"/>
  <c r="F35" i="3"/>
  <c r="E35" i="3"/>
  <c r="D35" i="3"/>
  <c r="C35" i="3"/>
  <c r="B35" i="3"/>
  <c r="I34" i="2"/>
  <c r="I35" i="3" s="1"/>
  <c r="E32" i="1"/>
  <c r="F32" i="1" s="1"/>
  <c r="J35" i="3" l="1"/>
  <c r="K36" i="3"/>
  <c r="L34" i="2"/>
  <c r="G32" i="1"/>
  <c r="I32" i="1"/>
  <c r="J34" i="2"/>
  <c r="K35" i="3" s="1"/>
  <c r="K34" i="2"/>
  <c r="H32" i="1"/>
  <c r="M35" i="3" s="1"/>
  <c r="J32" i="1"/>
  <c r="I34" i="3"/>
  <c r="H34" i="3"/>
  <c r="G34" i="3"/>
  <c r="F34" i="3"/>
  <c r="E34" i="3"/>
  <c r="D34" i="3"/>
  <c r="C34" i="3"/>
  <c r="B34" i="3"/>
  <c r="L33" i="2"/>
  <c r="N35" i="3" l="1"/>
  <c r="L35" i="3"/>
  <c r="E31" i="1"/>
  <c r="G31" i="1" s="1"/>
  <c r="I33" i="2"/>
  <c r="H31" i="1" l="1"/>
  <c r="M34" i="3" s="1"/>
  <c r="J34" i="3"/>
  <c r="F31" i="1"/>
  <c r="I31" i="1"/>
  <c r="N34" i="3" s="1"/>
  <c r="J31" i="1"/>
  <c r="J33" i="2"/>
  <c r="K34" i="3" s="1"/>
  <c r="K33" i="2"/>
  <c r="L34" i="3" s="1"/>
  <c r="I33" i="3"/>
  <c r="H33" i="3"/>
  <c r="G33" i="3"/>
  <c r="F33" i="3"/>
  <c r="E33" i="3"/>
  <c r="D33" i="3"/>
  <c r="C33" i="3"/>
  <c r="B33" i="3"/>
  <c r="E30" i="1" l="1"/>
  <c r="F30" i="1" s="1"/>
  <c r="I32" i="2"/>
  <c r="K32" i="2" s="1"/>
  <c r="H30" i="1" l="1"/>
  <c r="M33" i="3" s="1"/>
  <c r="J30" i="1"/>
  <c r="J33" i="3"/>
  <c r="G30" i="1"/>
  <c r="L33" i="3" s="1"/>
  <c r="L32" i="2"/>
  <c r="I30" i="1"/>
  <c r="N33" i="3" s="1"/>
  <c r="J32" i="2"/>
  <c r="K33" i="3" s="1"/>
  <c r="L31" i="2"/>
  <c r="E29" i="1" l="1"/>
  <c r="J32" i="3" s="1"/>
  <c r="H32" i="3"/>
  <c r="G32" i="3"/>
  <c r="F32" i="3"/>
  <c r="E32" i="3"/>
  <c r="D32" i="3"/>
  <c r="C32" i="3"/>
  <c r="B32" i="3"/>
  <c r="I31" i="2"/>
  <c r="K31" i="2" s="1"/>
  <c r="I29" i="1" l="1"/>
  <c r="N32" i="3" s="1"/>
  <c r="G29" i="1"/>
  <c r="L32" i="3" s="1"/>
  <c r="H29" i="1"/>
  <c r="M32" i="3" s="1"/>
  <c r="I32" i="3"/>
  <c r="F29" i="1"/>
  <c r="J29" i="1"/>
  <c r="J31" i="2"/>
  <c r="B63" i="2"/>
  <c r="C63" i="2"/>
  <c r="D63" i="2"/>
  <c r="K32" i="3" l="1"/>
  <c r="H31" i="3"/>
  <c r="G31" i="3"/>
  <c r="E31" i="3"/>
  <c r="I30" i="2"/>
  <c r="L30" i="2" s="1"/>
  <c r="F31" i="3"/>
  <c r="C31" i="3"/>
  <c r="B31" i="3"/>
  <c r="E28" i="1"/>
  <c r="H28" i="1" s="1"/>
  <c r="J28" i="1" l="1"/>
  <c r="J31" i="3"/>
  <c r="F28" i="1"/>
  <c r="I28" i="1"/>
  <c r="G28" i="1"/>
  <c r="I31" i="3"/>
  <c r="D31" i="3"/>
  <c r="M31" i="3"/>
  <c r="J30" i="2"/>
  <c r="K30" i="2"/>
  <c r="I30" i="3"/>
  <c r="H30" i="3"/>
  <c r="G30" i="3"/>
  <c r="F30" i="3"/>
  <c r="E30" i="3"/>
  <c r="D30" i="3"/>
  <c r="C30" i="3"/>
  <c r="B30" i="3"/>
  <c r="B29" i="3"/>
  <c r="C29" i="3"/>
  <c r="D29" i="3"/>
  <c r="E29" i="3"/>
  <c r="F29" i="3"/>
  <c r="G29" i="3"/>
  <c r="L31" i="3" l="1"/>
  <c r="K31" i="3"/>
  <c r="N31" i="3"/>
  <c r="E27" i="1"/>
  <c r="J30" i="3" s="1"/>
  <c r="I29" i="2"/>
  <c r="J29" i="2" s="1"/>
  <c r="F27" i="1" l="1"/>
  <c r="K30" i="3" s="1"/>
  <c r="G27" i="1"/>
  <c r="I27" i="1"/>
  <c r="N30" i="3" s="1"/>
  <c r="H27" i="1"/>
  <c r="M30" i="3" s="1"/>
  <c r="J27" i="1"/>
  <c r="L29" i="2"/>
  <c r="K29" i="2"/>
  <c r="H29" i="3"/>
  <c r="E26" i="1"/>
  <c r="J26" i="1" s="1"/>
  <c r="I28" i="2"/>
  <c r="I29" i="3" s="1"/>
  <c r="L30" i="3" l="1"/>
  <c r="F26" i="1"/>
  <c r="H26" i="1"/>
  <c r="M29" i="3" s="1"/>
  <c r="G26" i="1"/>
  <c r="I26" i="1"/>
  <c r="J29" i="3"/>
  <c r="L28" i="2"/>
  <c r="N29" i="3" s="1"/>
  <c r="J28" i="2"/>
  <c r="K28" i="2"/>
  <c r="L27" i="2"/>
  <c r="L29" i="3" l="1"/>
  <c r="K29" i="3"/>
  <c r="H28" i="3"/>
  <c r="G28" i="3"/>
  <c r="F28" i="3"/>
  <c r="E28" i="3"/>
  <c r="D28" i="3"/>
  <c r="C28" i="3"/>
  <c r="B28" i="3"/>
  <c r="E25" i="1"/>
  <c r="I25" i="1" s="1"/>
  <c r="I27" i="2"/>
  <c r="I28" i="3" s="1"/>
  <c r="F25" i="1" l="1"/>
  <c r="G25" i="1"/>
  <c r="N28" i="3"/>
  <c r="J28" i="3"/>
  <c r="J25" i="1"/>
  <c r="H25" i="1"/>
  <c r="M28" i="3" s="1"/>
  <c r="J27" i="2"/>
  <c r="K27" i="2"/>
  <c r="K26" i="2"/>
  <c r="L26" i="2"/>
  <c r="L28" i="3" l="1"/>
  <c r="K28" i="3"/>
  <c r="H27" i="3"/>
  <c r="G27" i="3"/>
  <c r="F27" i="3"/>
  <c r="E27" i="3"/>
  <c r="D27" i="3"/>
  <c r="C27" i="3"/>
  <c r="B27" i="3"/>
  <c r="E24" i="1"/>
  <c r="J27" i="3" s="1"/>
  <c r="I26" i="2"/>
  <c r="J26" i="2" s="1"/>
  <c r="F24" i="1" l="1"/>
  <c r="K27" i="3" s="1"/>
  <c r="G24" i="1"/>
  <c r="L27" i="3" s="1"/>
  <c r="I27" i="3"/>
  <c r="H24" i="1"/>
  <c r="M27" i="3" s="1"/>
  <c r="I24" i="1"/>
  <c r="J24" i="1"/>
  <c r="N27" i="3" l="1"/>
  <c r="H26" i="3"/>
  <c r="G26" i="3"/>
  <c r="F26" i="3"/>
  <c r="E26" i="3"/>
  <c r="D26" i="3"/>
  <c r="C26" i="3"/>
  <c r="B26" i="3"/>
  <c r="I25" i="2"/>
  <c r="K25" i="2" s="1"/>
  <c r="E23" i="1"/>
  <c r="J23" i="1" l="1"/>
  <c r="I23" i="1"/>
  <c r="G23" i="1"/>
  <c r="F23" i="1"/>
  <c r="H23" i="1"/>
  <c r="M26" i="3" s="1"/>
  <c r="J26" i="3"/>
  <c r="L25" i="2"/>
  <c r="I26" i="3"/>
  <c r="L26" i="3"/>
  <c r="J25" i="2"/>
  <c r="N26" i="3"/>
  <c r="L24" i="2"/>
  <c r="K26" i="3" l="1"/>
  <c r="H25" i="3"/>
  <c r="G25" i="3"/>
  <c r="F25" i="3"/>
  <c r="E25" i="3"/>
  <c r="D25" i="3"/>
  <c r="C25" i="3"/>
  <c r="B25" i="3"/>
  <c r="I24" i="2"/>
  <c r="I25" i="3" s="1"/>
  <c r="E22" i="1"/>
  <c r="H22" i="1" s="1"/>
  <c r="M25" i="3" s="1"/>
  <c r="F22" i="1" l="1"/>
  <c r="G22" i="1"/>
  <c r="J25" i="3"/>
  <c r="J24" i="2"/>
  <c r="K24" i="2"/>
  <c r="I22" i="1"/>
  <c r="J22" i="1"/>
  <c r="L23" i="2"/>
  <c r="L25" i="3" l="1"/>
  <c r="K25" i="3"/>
  <c r="N25" i="3"/>
  <c r="E21" i="1"/>
  <c r="G21" i="1" s="1"/>
  <c r="H24" i="3"/>
  <c r="G24" i="3"/>
  <c r="F24" i="3"/>
  <c r="E24" i="3"/>
  <c r="D24" i="3"/>
  <c r="C24" i="3"/>
  <c r="B24" i="3"/>
  <c r="I23" i="2"/>
  <c r="I24" i="3" s="1"/>
  <c r="H21" i="1" l="1"/>
  <c r="M24" i="3" s="1"/>
  <c r="J24" i="3"/>
  <c r="I21" i="1"/>
  <c r="J21" i="1"/>
  <c r="F21" i="1"/>
  <c r="J23" i="2"/>
  <c r="K23" i="2"/>
  <c r="L24" i="3" s="1"/>
  <c r="L22" i="2"/>
  <c r="K24" i="3" l="1"/>
  <c r="N24" i="3"/>
  <c r="H23" i="3"/>
  <c r="G23" i="3"/>
  <c r="F23" i="3"/>
  <c r="E23" i="3"/>
  <c r="D23" i="3"/>
  <c r="C23" i="3"/>
  <c r="B23" i="3"/>
  <c r="E20" i="1"/>
  <c r="J20" i="1" s="1"/>
  <c r="I22" i="2"/>
  <c r="K22" i="2" s="1"/>
  <c r="I23" i="3" l="1"/>
  <c r="F20" i="1"/>
  <c r="J23" i="3"/>
  <c r="G20" i="1"/>
  <c r="L23" i="3" s="1"/>
  <c r="H20" i="1"/>
  <c r="M23" i="3" s="1"/>
  <c r="I20" i="1"/>
  <c r="J22" i="2"/>
  <c r="L21" i="2"/>
  <c r="N23" i="3" l="1"/>
  <c r="K23" i="3"/>
  <c r="H22" i="3"/>
  <c r="G22" i="3"/>
  <c r="F22" i="3"/>
  <c r="E22" i="3"/>
  <c r="D22" i="3"/>
  <c r="C22" i="3"/>
  <c r="B22" i="3"/>
  <c r="E19" i="1"/>
  <c r="J22" i="3" s="1"/>
  <c r="I21" i="2"/>
  <c r="F19" i="1" l="1"/>
  <c r="I22" i="3"/>
  <c r="H19" i="1"/>
  <c r="M22" i="3" s="1"/>
  <c r="I19" i="1"/>
  <c r="N22" i="3" s="1"/>
  <c r="J19" i="1"/>
  <c r="G19" i="1"/>
  <c r="J21" i="2"/>
  <c r="K21" i="2"/>
  <c r="K22" i="3" l="1"/>
  <c r="L22" i="3"/>
  <c r="H21" i="3"/>
  <c r="G21" i="3"/>
  <c r="F21" i="3"/>
  <c r="E21" i="3"/>
  <c r="D21" i="3"/>
  <c r="C21" i="3"/>
  <c r="B21" i="3"/>
  <c r="E18" i="1"/>
  <c r="I20" i="2"/>
  <c r="L20" i="2" s="1"/>
  <c r="J18" i="1" l="1"/>
  <c r="H18" i="1"/>
  <c r="M21" i="3" s="1"/>
  <c r="I18" i="1"/>
  <c r="N21" i="3" s="1"/>
  <c r="I21" i="3"/>
  <c r="F18" i="1"/>
  <c r="J21" i="3"/>
  <c r="G18" i="1"/>
  <c r="J20" i="2"/>
  <c r="K20" i="2"/>
  <c r="H20" i="3"/>
  <c r="G20" i="3"/>
  <c r="F20" i="3"/>
  <c r="E20" i="3"/>
  <c r="D20" i="3"/>
  <c r="C20" i="3"/>
  <c r="B20" i="3"/>
  <c r="E17" i="1"/>
  <c r="I17" i="1" s="1"/>
  <c r="I19" i="2"/>
  <c r="L19" i="2" s="1"/>
  <c r="G17" i="1" l="1"/>
  <c r="J20" i="3"/>
  <c r="F17" i="1"/>
  <c r="L21" i="3"/>
  <c r="K21" i="3"/>
  <c r="N20" i="3"/>
  <c r="I20" i="3"/>
  <c r="H17" i="1"/>
  <c r="M20" i="3" s="1"/>
  <c r="J17" i="1"/>
  <c r="J19" i="2"/>
  <c r="K19" i="2"/>
  <c r="L20" i="3" l="1"/>
  <c r="K20" i="3"/>
  <c r="H19" i="3"/>
  <c r="G19" i="3"/>
  <c r="F19" i="3"/>
  <c r="E19" i="3"/>
  <c r="D19" i="3"/>
  <c r="C19" i="3"/>
  <c r="B19" i="3"/>
  <c r="E16" i="1"/>
  <c r="I18" i="2"/>
  <c r="K18" i="2" s="1"/>
  <c r="F16" i="1" l="1"/>
  <c r="H16" i="1"/>
  <c r="G16" i="1"/>
  <c r="L19" i="3" s="1"/>
  <c r="I19" i="3"/>
  <c r="I16" i="1"/>
  <c r="M19" i="3"/>
  <c r="J19" i="3"/>
  <c r="J16" i="1"/>
  <c r="L18" i="2"/>
  <c r="J18" i="2"/>
  <c r="K17" i="2"/>
  <c r="I18" i="3"/>
  <c r="H18" i="3"/>
  <c r="G18" i="3"/>
  <c r="F18" i="3"/>
  <c r="E18" i="3"/>
  <c r="D18" i="3"/>
  <c r="C18" i="3"/>
  <c r="B18" i="3"/>
  <c r="K19" i="3" l="1"/>
  <c r="N19" i="3"/>
  <c r="E15" i="1"/>
  <c r="J18" i="3" s="1"/>
  <c r="E14" i="1"/>
  <c r="I15" i="1" l="1"/>
  <c r="N18" i="3" s="1"/>
  <c r="H15" i="1"/>
  <c r="M18" i="3" s="1"/>
  <c r="G15" i="1"/>
  <c r="L18" i="3" s="1"/>
  <c r="F15" i="1"/>
  <c r="J15" i="1"/>
  <c r="I17" i="2"/>
  <c r="L17" i="2" s="1"/>
  <c r="J17" i="2" l="1"/>
  <c r="K18" i="3" s="1"/>
  <c r="L16" i="2"/>
  <c r="I14" i="1" l="1"/>
  <c r="H17" i="3"/>
  <c r="G17" i="3"/>
  <c r="F17" i="3"/>
  <c r="E17" i="3"/>
  <c r="D17" i="3"/>
  <c r="C17" i="3"/>
  <c r="B17" i="3"/>
  <c r="I16" i="2"/>
  <c r="I17" i="3" s="1"/>
  <c r="G14" i="1"/>
  <c r="N17" i="3" l="1"/>
  <c r="J17" i="3"/>
  <c r="J16" i="2"/>
  <c r="K16" i="2"/>
  <c r="L17" i="3" s="1"/>
  <c r="H14" i="1"/>
  <c r="M17" i="3" s="1"/>
  <c r="J14" i="1"/>
  <c r="F14" i="1"/>
  <c r="L15" i="2"/>
  <c r="K17" i="3" l="1"/>
  <c r="H16" i="3" l="1"/>
  <c r="G16" i="3"/>
  <c r="F16" i="3"/>
  <c r="E16" i="3"/>
  <c r="D16" i="3"/>
  <c r="C16" i="3"/>
  <c r="B16" i="3"/>
  <c r="I15" i="2"/>
  <c r="J15" i="2" s="1"/>
  <c r="E13" i="1"/>
  <c r="H13" i="1" l="1"/>
  <c r="M16" i="3" s="1"/>
  <c r="I13" i="1"/>
  <c r="N16" i="3" s="1"/>
  <c r="G13" i="1"/>
  <c r="I16" i="3"/>
  <c r="J16" i="3"/>
  <c r="F13" i="1"/>
  <c r="K16" i="3" s="1"/>
  <c r="K15" i="2"/>
  <c r="J13" i="1"/>
  <c r="H15" i="3"/>
  <c r="G15" i="3"/>
  <c r="F15" i="3"/>
  <c r="E15" i="3"/>
  <c r="D15" i="3"/>
  <c r="C15" i="3"/>
  <c r="B15" i="3"/>
  <c r="E11" i="1"/>
  <c r="E12" i="1"/>
  <c r="J15" i="3" s="1"/>
  <c r="L16" i="3" l="1"/>
  <c r="H12" i="1"/>
  <c r="M15" i="3" s="1"/>
  <c r="F12" i="1"/>
  <c r="G12" i="1"/>
  <c r="J12" i="1"/>
  <c r="I12" i="1"/>
  <c r="I14" i="2"/>
  <c r="J14" i="2" l="1"/>
  <c r="K15" i="3" s="1"/>
  <c r="I15" i="3"/>
  <c r="L14" i="2"/>
  <c r="N15" i="3" s="1"/>
  <c r="K14" i="2"/>
  <c r="L15" i="3" s="1"/>
  <c r="J14" i="3"/>
  <c r="H14" i="3"/>
  <c r="G14" i="3"/>
  <c r="F14" i="3"/>
  <c r="E14" i="3"/>
  <c r="D14" i="3"/>
  <c r="C14" i="3"/>
  <c r="B14" i="3"/>
  <c r="H11" i="1" l="1"/>
  <c r="M14" i="3" s="1"/>
  <c r="G11" i="1"/>
  <c r="F11" i="1"/>
  <c r="J11" i="1" l="1"/>
  <c r="I13" i="2"/>
  <c r="K13" i="2" l="1"/>
  <c r="L14" i="3" s="1"/>
  <c r="L13" i="2"/>
  <c r="I14" i="3"/>
  <c r="I11" i="1"/>
  <c r="J13" i="2"/>
  <c r="K14" i="3" s="1"/>
  <c r="B10" i="3"/>
  <c r="C10" i="3"/>
  <c r="D10" i="3"/>
  <c r="E10" i="3"/>
  <c r="F10" i="3"/>
  <c r="G10" i="3"/>
  <c r="H10" i="3"/>
  <c r="B11" i="3"/>
  <c r="C11" i="3"/>
  <c r="D11" i="3"/>
  <c r="E11" i="3"/>
  <c r="F11" i="3"/>
  <c r="G11" i="3"/>
  <c r="H11" i="3"/>
  <c r="B12" i="3"/>
  <c r="C12" i="3"/>
  <c r="D12" i="3"/>
  <c r="E12" i="3"/>
  <c r="F12" i="3"/>
  <c r="G12" i="3"/>
  <c r="H12" i="3"/>
  <c r="B13" i="3"/>
  <c r="C13" i="3"/>
  <c r="D13" i="3"/>
  <c r="E13" i="3"/>
  <c r="F13" i="3"/>
  <c r="G13" i="3"/>
  <c r="H13" i="3"/>
  <c r="N14" i="3" l="1"/>
  <c r="E10" i="1"/>
  <c r="I10" i="1" s="1"/>
  <c r="I12" i="2"/>
  <c r="J10" i="1" l="1"/>
  <c r="J13" i="3"/>
  <c r="F10" i="1"/>
  <c r="H10" i="1"/>
  <c r="M13" i="3" s="1"/>
  <c r="I13" i="3"/>
  <c r="L12" i="2"/>
  <c r="N13" i="3" s="1"/>
  <c r="G10" i="1"/>
  <c r="J12" i="2"/>
  <c r="K12" i="2"/>
  <c r="B61" i="1"/>
  <c r="E9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I11" i="2"/>
  <c r="I12" i="3" s="1"/>
  <c r="J9" i="1" l="1"/>
  <c r="J12" i="3"/>
  <c r="K13" i="3"/>
  <c r="L11" i="2"/>
  <c r="L13" i="3"/>
  <c r="F9" i="1"/>
  <c r="I9" i="1"/>
  <c r="H9" i="1"/>
  <c r="M12" i="3" s="1"/>
  <c r="G9" i="1"/>
  <c r="K11" i="2"/>
  <c r="J11" i="2"/>
  <c r="L12" i="3" l="1"/>
  <c r="K12" i="3"/>
  <c r="N12" i="3"/>
  <c r="I10" i="2"/>
  <c r="E8" i="1"/>
  <c r="I8" i="1" s="1"/>
  <c r="F8" i="1" l="1"/>
  <c r="J8" i="1"/>
  <c r="J11" i="3"/>
  <c r="I11" i="3"/>
  <c r="L10" i="2"/>
  <c r="N11" i="3" s="1"/>
  <c r="K10" i="2"/>
  <c r="J10" i="2"/>
  <c r="K11" i="3" s="1"/>
  <c r="G8" i="1"/>
  <c r="H8" i="1"/>
  <c r="M11" i="3" s="1"/>
  <c r="I9" i="2"/>
  <c r="L11" i="3" l="1"/>
  <c r="K9" i="2"/>
  <c r="I10" i="3"/>
  <c r="J9" i="2"/>
  <c r="L9" i="2"/>
  <c r="E7" i="1"/>
  <c r="J10" i="3" s="1"/>
  <c r="H7" i="1" l="1"/>
  <c r="M10" i="3" s="1"/>
  <c r="G7" i="1"/>
  <c r="L10" i="3" s="1"/>
  <c r="F7" i="1"/>
  <c r="K10" i="3" s="1"/>
  <c r="J7" i="1"/>
  <c r="I7" i="1"/>
  <c r="N10" i="3" s="1"/>
  <c r="C9" i="3" l="1"/>
  <c r="C64" i="3" s="1"/>
  <c r="D9" i="3"/>
  <c r="D64" i="3" s="1"/>
  <c r="E9" i="3"/>
  <c r="E64" i="3" s="1"/>
  <c r="F9" i="3"/>
  <c r="F64" i="3" s="1"/>
  <c r="G9" i="3"/>
  <c r="G64" i="3" s="1"/>
  <c r="H9" i="3"/>
  <c r="H64" i="3" s="1"/>
  <c r="B9" i="3"/>
  <c r="B64" i="3" s="1"/>
  <c r="E63" i="2" l="1"/>
  <c r="F63" i="2"/>
  <c r="G63" i="2"/>
  <c r="H63" i="2"/>
  <c r="K61" i="1"/>
  <c r="C61" i="1"/>
  <c r="D61" i="1"/>
  <c r="I8" i="2"/>
  <c r="L8" i="2" s="1"/>
  <c r="L63" i="2" s="1"/>
  <c r="I2" i="2"/>
  <c r="E6" i="1"/>
  <c r="G6" i="1" l="1"/>
  <c r="G61" i="1" s="1"/>
  <c r="F6" i="1"/>
  <c r="F61" i="1" s="1"/>
  <c r="K8" i="2"/>
  <c r="K63" i="2" s="1"/>
  <c r="I6" i="1"/>
  <c r="I61" i="1" s="1"/>
  <c r="H6" i="1"/>
  <c r="J8" i="2"/>
  <c r="J63" i="2" s="1"/>
  <c r="J6" i="1"/>
  <c r="J61" i="1" s="1"/>
  <c r="I63" i="2"/>
  <c r="J9" i="3"/>
  <c r="J64" i="3" s="1"/>
  <c r="E61" i="1"/>
  <c r="I9" i="3"/>
  <c r="I64" i="3" s="1"/>
  <c r="N9" i="3" l="1"/>
  <c r="N64" i="3" s="1"/>
  <c r="M9" i="3"/>
  <c r="M64" i="3" s="1"/>
  <c r="H61" i="1"/>
  <c r="K9" i="3"/>
  <c r="K64" i="3" s="1"/>
  <c r="L9" i="3"/>
  <c r="L64" i="3" s="1"/>
</calcChain>
</file>

<file path=xl/sharedStrings.xml><?xml version="1.0" encoding="utf-8"?>
<sst xmlns="http://schemas.openxmlformats.org/spreadsheetml/2006/main" count="55" uniqueCount="37">
  <si>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</si>
  <si>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</si>
  <si>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</si>
  <si>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</si>
  <si>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</si>
  <si>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</si>
  <si>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</si>
  <si>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</si>
  <si>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</si>
  <si>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</si>
  <si>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</si>
  <si>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</si>
  <si>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</si>
  <si>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</si>
  <si>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</si>
  <si>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</si>
  <si>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</si>
  <si>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</si>
  <si>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</si>
  <si>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</si>
  <si>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</si>
  <si>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</si>
  <si>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</si>
  <si>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</si>
  <si>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</si>
  <si>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</si>
  <si>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</si>
  <si>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</si>
  <si>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>FISCAL YEAR 2024</t>
  </si>
  <si>
    <t xml:space="preserve">  *  Represents 1 day to start the fiscal year.</t>
  </si>
  <si>
    <t>7/1/2023 *</t>
  </si>
  <si>
    <t>FY2023</t>
  </si>
  <si>
    <t xml:space="preserve"> FOR THE FISCAL YEAR ENDING JUNE 30, 2024</t>
  </si>
  <si>
    <t>6/30/2024 **</t>
  </si>
  <si>
    <t xml:space="preserve">  **  Represents 1 day to end the fiscal year.</t>
  </si>
  <si>
    <t>***  Represents an average of the number of machines in use for the week, averaged for the fiscal year.</t>
  </si>
  <si>
    <t>Number
Terminals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</si>
</sst>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44" fontId="0" fillId="0" borderId="0" xfId="1" applyFont="1"/>
    <xf numFmtId="44" fontId="0" fillId="0" borderId="2" xfId="0" applyNumberFormat="1" applyFont="1" applyBorder="1"/>
    <xf numFmtId="0" fontId="3" fillId="0" borderId="0" xfId="0" applyFont="1"/>
    <xf numFmtId="164" fontId="0" fillId="0" borderId="0" xfId="0" applyNumberFormat="1" applyFont="1" applyBorder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164" fontId="0" fillId="0" borderId="0" xfId="0" applyNumberFormat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Font="1" applyBorder="1" applyAlignment="1">
      <alignment horizontal="center" vertical="center"/>
    </xf>
    <xf numFmtId="44" fontId="0" fillId="0" borderId="0" xfId="0" applyNumberFormat="1" applyFont="1"/>
    <xf numFmtId="0" fontId="0" fillId="0" borderId="0" xfId="0" applyFont="1" applyAlignment="1">
      <alignment horizontal="center"/>
    </xf>
    <xf numFmtId="0" fontId="6" fillId="0" borderId="0" xfId="2" applyFont="1" applyAlignment="1">
      <alignment horizontal="left"/>
    </xf>
    <xf numFmtId="14" fontId="0" fillId="0" borderId="0" xfId="1" applyNumberFormat="1" applyFont="1" applyBorder="1" applyAlignment="1">
      <alignment horizontal="left"/>
    </xf>
    <xf numFmtId="44" fontId="0" fillId="0" borderId="0" xfId="0" applyNumberFormat="1" applyFont="1" applyBorder="1"/>
    <xf numFmtId="44" fontId="0" fillId="0" borderId="0" xfId="1" applyFont="1" applyBorder="1"/>
    <xf numFmtId="0" fontId="0" fillId="0" borderId="0" xfId="0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zoomScaleNormal="100" workbookViewId="0">
      <pane ySplit="7" topLeftCell="A39" activePane="bottomLeft" state="frozen"/>
      <selection pane="bottomLeft" activeCell="A64" sqref="A64"/>
    </sheetView>
  </sheetViews>
  <sheetFormatPr defaultRowHeight="15" customHeight="1" x14ac:dyDescent="0.25"/>
  <cols>
    <col min="1" max="1" width="12.7109375" style="1" customWidth="1"/>
    <col min="2" max="2" width="15.140625" style="1" bestFit="1" customWidth="1"/>
    <col min="3" max="4" width="13.42578125" style="1" bestFit="1" customWidth="1"/>
    <col min="5" max="5" width="13.140625" style="1" customWidth="1"/>
    <col min="6" max="6" width="14.28515625" style="1" customWidth="1"/>
    <col min="7" max="8" width="13.42578125" style="1" bestFit="1" customWidth="1"/>
    <col min="9" max="11" width="15.140625" style="1" bestFit="1" customWidth="1"/>
    <col min="12" max="12" width="14.28515625" style="1" bestFit="1" customWidth="1"/>
    <col min="13" max="13" width="13.42578125" style="1" bestFit="1" customWidth="1"/>
    <col min="14" max="14" width="15.140625" style="1" bestFit="1" customWidth="1"/>
    <col min="15" max="15" width="10.7109375" style="1" customWidth="1"/>
    <col min="16" max="16384" width="9.140625" style="1"/>
  </cols>
  <sheetData>
    <row r="1" spans="1:14" ht="18.75" x14ac:dyDescent="0.3">
      <c r="A1" s="24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" customHeight="1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" customHeight="1" x14ac:dyDescent="0.25">
      <c r="A3" s="25" t="s">
        <v>32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5" customHeight="1" x14ac:dyDescent="0.25">
      <c r="A4" s="25" t="s">
        <v>28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7" spans="1:14" s="2" customFormat="1" ht="45" x14ac:dyDescent="0.25">
      <c r="B7" s="3" t="s">
        <v>24</v>
      </c>
      <c r="C7" s="4" t="s">
        <v>9</v>
      </c>
      <c r="D7" s="3" t="s">
        <v>10</v>
      </c>
      <c r="E7" s="3" t="s">
        <v>11</v>
      </c>
      <c r="F7" s="3" t="s">
        <v>12</v>
      </c>
      <c r="G7" s="3" t="s">
        <v>13</v>
      </c>
      <c r="H7" s="3" t="s">
        <v>14</v>
      </c>
      <c r="I7" s="3" t="s">
        <v>25</v>
      </c>
      <c r="J7" s="3" t="s">
        <v>26</v>
      </c>
      <c r="K7" s="3" t="s">
        <v>19</v>
      </c>
      <c r="L7" s="3" t="s">
        <v>20</v>
      </c>
      <c r="M7" s="3" t="s">
        <v>22</v>
      </c>
      <c r="N7" s="3" t="s">
        <v>21</v>
      </c>
    </row>
    <row r="8" spans="1:14" ht="15" customHeight="1" x14ac:dyDescent="0.25">
      <c r="A8" s="12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ht="15" customHeight="1" x14ac:dyDescent="0.25">
      <c r="A9" s="12" t="s">
        <v>30</v>
      </c>
      <c r="B9" s="8">
        <f>'Table Games'!B8</f>
        <v>16742.5</v>
      </c>
      <c r="C9" s="8">
        <f>'Table Games'!C8</f>
        <v>7426</v>
      </c>
      <c r="D9" s="8">
        <f>'Table Games'!D8</f>
        <v>0</v>
      </c>
      <c r="E9" s="8">
        <f>'Table Games'!E8</f>
        <v>0</v>
      </c>
      <c r="F9" s="8">
        <f>'Table Games'!F8</f>
        <v>-1142</v>
      </c>
      <c r="G9" s="8">
        <f>'Table Games'!G8</f>
        <v>-2300</v>
      </c>
      <c r="H9" s="8">
        <f>'Table Games'!H8</f>
        <v>1258</v>
      </c>
      <c r="I9" s="8">
        <f>'Table Games'!I8</f>
        <v>21984.5</v>
      </c>
      <c r="J9" s="8">
        <f>Video!E6</f>
        <v>16559.400000000023</v>
      </c>
      <c r="K9" s="8">
        <f>'Table Games'!J8+Video!F6</f>
        <v>12556.73</v>
      </c>
      <c r="L9" s="8">
        <f>'Table Games'!K8+Video!G6</f>
        <v>3914.33</v>
      </c>
      <c r="M9" s="8">
        <f>Video!H6</f>
        <v>778.29</v>
      </c>
      <c r="N9" s="8">
        <f>'Table Games'!L8+Video!I6</f>
        <v>21294.55</v>
      </c>
    </row>
    <row r="10" spans="1:14" ht="15" customHeight="1" x14ac:dyDescent="0.25">
      <c r="A10" s="12">
        <v>45115</v>
      </c>
      <c r="B10" s="8">
        <f>'Table Games'!B9</f>
        <v>-7128</v>
      </c>
      <c r="C10" s="8">
        <f>'Table Games'!C9</f>
        <v>20861</v>
      </c>
      <c r="D10" s="8">
        <f>'Table Games'!D9</f>
        <v>0</v>
      </c>
      <c r="E10" s="8">
        <f>'Table Games'!E9</f>
        <v>0</v>
      </c>
      <c r="F10" s="8">
        <f>'Table Games'!F9</f>
        <v>64948</v>
      </c>
      <c r="G10" s="8">
        <f>'Table Games'!G9</f>
        <v>0</v>
      </c>
      <c r="H10" s="8">
        <f>'Table Games'!H9</f>
        <v>15056</v>
      </c>
      <c r="I10" s="8">
        <f>'Table Games'!I9</f>
        <v>93737</v>
      </c>
      <c r="J10" s="8">
        <f>Video!E7</f>
        <v>115485.05000000005</v>
      </c>
      <c r="K10" s="8">
        <f>'Table Games'!J9+Video!F7</f>
        <v>69695.700000000012</v>
      </c>
      <c r="L10" s="8">
        <f>'Table Games'!K9+Video!G7</f>
        <v>24319.32</v>
      </c>
      <c r="M10" s="8">
        <f>Video!H7</f>
        <v>5427.8</v>
      </c>
      <c r="N10" s="8">
        <f>'Table Games'!L9+Video!I7</f>
        <v>109779.23000000001</v>
      </c>
    </row>
    <row r="11" spans="1:14" ht="15" customHeight="1" x14ac:dyDescent="0.25">
      <c r="A11" s="12">
        <v>45122</v>
      </c>
      <c r="B11" s="8">
        <f>'Table Games'!B10</f>
        <v>92808.5</v>
      </c>
      <c r="C11" s="8">
        <f>'Table Games'!C10</f>
        <v>19483</v>
      </c>
      <c r="D11" s="8">
        <f>'Table Games'!D10</f>
        <v>0</v>
      </c>
      <c r="E11" s="8">
        <f>'Table Games'!E10</f>
        <v>0</v>
      </c>
      <c r="F11" s="8">
        <f>'Table Games'!F10</f>
        <v>12258</v>
      </c>
      <c r="G11" s="8">
        <f>'Table Games'!G10</f>
        <v>0</v>
      </c>
      <c r="H11" s="8">
        <f>'Table Games'!H10</f>
        <v>13305</v>
      </c>
      <c r="I11" s="8">
        <f>'Table Games'!I10</f>
        <v>137854.5</v>
      </c>
      <c r="J11" s="8">
        <f>Video!E8</f>
        <v>85124.209999999963</v>
      </c>
      <c r="K11" s="8">
        <f>'Table Games'!J10+Video!F8</f>
        <v>72001.05</v>
      </c>
      <c r="L11" s="8">
        <f>'Table Games'!K10+Video!G8</f>
        <v>21363.85</v>
      </c>
      <c r="M11" s="8">
        <f>Video!H8</f>
        <v>4000.84</v>
      </c>
      <c r="N11" s="8">
        <f>'Table Games'!L10+Video!I8</f>
        <v>125612.97</v>
      </c>
    </row>
    <row r="12" spans="1:14" ht="15" customHeight="1" x14ac:dyDescent="0.25">
      <c r="A12" s="12">
        <f t="shared" ref="A12:A61" si="0">A11+7</f>
        <v>45129</v>
      </c>
      <c r="B12" s="8">
        <f>'Table Games'!B11</f>
        <v>106424</v>
      </c>
      <c r="C12" s="8">
        <f>'Table Games'!C11</f>
        <v>17709</v>
      </c>
      <c r="D12" s="8">
        <f>'Table Games'!D11</f>
        <v>0</v>
      </c>
      <c r="E12" s="8">
        <f>'Table Games'!E11</f>
        <v>0</v>
      </c>
      <c r="F12" s="8">
        <f>'Table Games'!F11</f>
        <v>7631</v>
      </c>
      <c r="G12" s="8">
        <f>'Table Games'!G11</f>
        <v>3983</v>
      </c>
      <c r="H12" s="8">
        <f>'Table Games'!H11</f>
        <v>14425</v>
      </c>
      <c r="I12" s="8">
        <f>'Table Games'!I11</f>
        <v>150172</v>
      </c>
      <c r="J12" s="8">
        <f>Video!E9</f>
        <v>79630.600000000093</v>
      </c>
      <c r="K12" s="8">
        <f>'Table Games'!J11+Video!F9</f>
        <v>73718.62</v>
      </c>
      <c r="L12" s="8">
        <f>'Table Games'!K11+Video!G9</f>
        <v>21045.800000000003</v>
      </c>
      <c r="M12" s="8">
        <f>Video!H9</f>
        <v>3742.64</v>
      </c>
      <c r="N12" s="8">
        <f>'Table Games'!L11+Video!I9</f>
        <v>131295.54</v>
      </c>
    </row>
    <row r="13" spans="1:14" ht="15" customHeight="1" x14ac:dyDescent="0.25">
      <c r="A13" s="12">
        <f t="shared" si="0"/>
        <v>45136</v>
      </c>
      <c r="B13" s="8">
        <f>'Table Games'!B12</f>
        <v>97608.5</v>
      </c>
      <c r="C13" s="8">
        <f>'Table Games'!C12</f>
        <v>29565</v>
      </c>
      <c r="D13" s="8">
        <f>'Table Games'!D12</f>
        <v>0</v>
      </c>
      <c r="E13" s="8">
        <f>'Table Games'!E12</f>
        <v>0</v>
      </c>
      <c r="F13" s="8">
        <f>'Table Games'!F12</f>
        <v>5584</v>
      </c>
      <c r="G13" s="8">
        <f>'Table Games'!G12</f>
        <v>0</v>
      </c>
      <c r="H13" s="8">
        <f>'Table Games'!H12</f>
        <v>7965</v>
      </c>
      <c r="I13" s="8">
        <f>'Table Games'!I12</f>
        <v>140722.5</v>
      </c>
      <c r="J13" s="8">
        <f>Video!E10</f>
        <v>87632.810000000172</v>
      </c>
      <c r="K13" s="8">
        <f>'Table Games'!J12+Video!F10</f>
        <v>73764.55</v>
      </c>
      <c r="L13" s="8">
        <f>'Table Games'!K12+Video!G10</f>
        <v>21933.71</v>
      </c>
      <c r="M13" s="8">
        <f>Video!H10</f>
        <v>4118.75</v>
      </c>
      <c r="N13" s="8">
        <f>'Table Games'!L12+Video!I10</f>
        <v>128538.30000000002</v>
      </c>
    </row>
    <row r="14" spans="1:14" ht="15" customHeight="1" x14ac:dyDescent="0.25">
      <c r="A14" s="12">
        <f t="shared" si="0"/>
        <v>45143</v>
      </c>
      <c r="B14" s="8">
        <f>'Table Games'!B13</f>
        <v>156085.5</v>
      </c>
      <c r="C14" s="8">
        <f>'Table Games'!C13</f>
        <v>15965</v>
      </c>
      <c r="D14" s="8">
        <f>'Table Games'!D13</f>
        <v>3396.25</v>
      </c>
      <c r="E14" s="8">
        <f>'Table Games'!E13</f>
        <v>0</v>
      </c>
      <c r="F14" s="8">
        <f>'Table Games'!F13</f>
        <v>24946</v>
      </c>
      <c r="G14" s="8">
        <f>'Table Games'!G13</f>
        <v>0</v>
      </c>
      <c r="H14" s="8">
        <f>'Table Games'!H13</f>
        <v>1649</v>
      </c>
      <c r="I14" s="8">
        <f>'Table Games'!I13</f>
        <v>202041.75</v>
      </c>
      <c r="J14" s="8">
        <f>Video!E11</f>
        <v>137197.96000000008</v>
      </c>
      <c r="K14" s="8">
        <f>'Table Games'!J13+Video!F11</f>
        <v>110003.81999999999</v>
      </c>
      <c r="L14" s="8">
        <f>'Table Games'!K13+Video!G11</f>
        <v>33425.730000000003</v>
      </c>
      <c r="M14" s="8">
        <f>Video!H11</f>
        <v>6448.29</v>
      </c>
      <c r="N14" s="8">
        <f>'Table Games'!L13+Video!I11</f>
        <v>189361.87</v>
      </c>
    </row>
    <row r="15" spans="1:14" ht="15" customHeight="1" x14ac:dyDescent="0.25">
      <c r="A15" s="12">
        <f t="shared" si="0"/>
        <v>45150</v>
      </c>
      <c r="B15" s="8">
        <f>'Table Games'!B14</f>
        <v>107538</v>
      </c>
      <c r="C15" s="8">
        <f>'Table Games'!C14</f>
        <v>-6311</v>
      </c>
      <c r="D15" s="8">
        <f>'Table Games'!D14</f>
        <v>0</v>
      </c>
      <c r="E15" s="8">
        <f>'Table Games'!E14</f>
        <v>0</v>
      </c>
      <c r="F15" s="8">
        <f>'Table Games'!F14</f>
        <v>23421</v>
      </c>
      <c r="G15" s="8">
        <f>'Table Games'!G14</f>
        <v>0</v>
      </c>
      <c r="H15" s="8">
        <f>'Table Games'!H14</f>
        <v>7987</v>
      </c>
      <c r="I15" s="8">
        <f>'Table Games'!I14</f>
        <v>132635</v>
      </c>
      <c r="J15" s="8">
        <f>Video!E12</f>
        <v>110271.5</v>
      </c>
      <c r="K15" s="8">
        <f>'Table Games'!J14+Video!F12</f>
        <v>79488.26999999999</v>
      </c>
      <c r="L15" s="8">
        <f>'Table Games'!K14+Video!G12</f>
        <v>25377.89</v>
      </c>
      <c r="M15" s="8">
        <f>Video!H12</f>
        <v>5182.75</v>
      </c>
      <c r="N15" s="8">
        <f>'Table Games'!L14+Video!I12</f>
        <v>132857.59</v>
      </c>
    </row>
    <row r="16" spans="1:14" ht="15" customHeight="1" x14ac:dyDescent="0.25">
      <c r="A16" s="12">
        <f t="shared" si="0"/>
        <v>45157</v>
      </c>
      <c r="B16" s="8">
        <f>'Table Games'!B15</f>
        <v>108809.5</v>
      </c>
      <c r="C16" s="8">
        <f>'Table Games'!C15</f>
        <v>-3404</v>
      </c>
      <c r="D16" s="8">
        <f>'Table Games'!D15</f>
        <v>665</v>
      </c>
      <c r="E16" s="8">
        <f>'Table Games'!E15</f>
        <v>0</v>
      </c>
      <c r="F16" s="8">
        <f>'Table Games'!F15</f>
        <v>16371</v>
      </c>
      <c r="G16" s="8">
        <f>'Table Games'!G15</f>
        <v>29925</v>
      </c>
      <c r="H16" s="8">
        <f>'Table Games'!H15</f>
        <v>32904</v>
      </c>
      <c r="I16" s="8">
        <f>'Table Games'!I15</f>
        <v>185270.5</v>
      </c>
      <c r="J16" s="8">
        <f>Video!E13</f>
        <v>58413.15000000014</v>
      </c>
      <c r="K16" s="8">
        <f>'Table Games'!J15+Video!F13</f>
        <v>76609.88</v>
      </c>
      <c r="L16" s="8">
        <f>'Table Games'!K15+Video!G13</f>
        <v>19193.760000000002</v>
      </c>
      <c r="M16" s="8">
        <f>Video!H13</f>
        <v>2745.42</v>
      </c>
      <c r="N16" s="8">
        <f>'Table Games'!L15+Video!I13</f>
        <v>145134.59</v>
      </c>
    </row>
    <row r="17" spans="1:14" ht="15" customHeight="1" x14ac:dyDescent="0.25">
      <c r="A17" s="12">
        <f t="shared" si="0"/>
        <v>45164</v>
      </c>
      <c r="B17" s="8">
        <f>'Table Games'!B16</f>
        <v>198849.5</v>
      </c>
      <c r="C17" s="8">
        <f>'Table Games'!C16</f>
        <v>6029</v>
      </c>
      <c r="D17" s="8">
        <f>'Table Games'!D16</f>
        <v>0</v>
      </c>
      <c r="E17" s="8">
        <f>'Table Games'!E16</f>
        <v>0</v>
      </c>
      <c r="F17" s="8">
        <f>'Table Games'!F16</f>
        <v>41157</v>
      </c>
      <c r="G17" s="8">
        <f>'Table Games'!G16</f>
        <v>2669</v>
      </c>
      <c r="H17" s="8">
        <f>'Table Games'!H16</f>
        <v>-6957</v>
      </c>
      <c r="I17" s="8">
        <f>'Table Games'!I16</f>
        <v>241747.5</v>
      </c>
      <c r="J17" s="8">
        <f>Video!E14</f>
        <v>46395.540000000037</v>
      </c>
      <c r="K17" s="8">
        <f>'Table Games'!J16+Video!F14</f>
        <v>89226.64</v>
      </c>
      <c r="L17" s="8">
        <f>'Table Games'!K16+Video!G14</f>
        <v>19974.62</v>
      </c>
      <c r="M17" s="8">
        <f>Video!H14</f>
        <v>2180.59</v>
      </c>
      <c r="N17" s="8">
        <f>'Table Games'!L16+Video!I14</f>
        <v>176761.19</v>
      </c>
    </row>
    <row r="18" spans="1:14" ht="15" customHeight="1" x14ac:dyDescent="0.25">
      <c r="A18" s="12">
        <f t="shared" si="0"/>
        <v>45171</v>
      </c>
      <c r="B18" s="8">
        <f>'Table Games'!B17</f>
        <v>268783</v>
      </c>
      <c r="C18" s="8">
        <f>'Table Games'!C17</f>
        <v>720</v>
      </c>
      <c r="D18" s="8">
        <f>'Table Games'!D17</f>
        <v>0</v>
      </c>
      <c r="E18" s="8">
        <f>'Table Games'!E17</f>
        <v>0</v>
      </c>
      <c r="F18" s="8">
        <f>'Table Games'!F17</f>
        <v>-6600</v>
      </c>
      <c r="G18" s="8">
        <f>'Table Games'!G17</f>
        <v>-7465</v>
      </c>
      <c r="H18" s="8">
        <f>'Table Games'!H17</f>
        <v>17148</v>
      </c>
      <c r="I18" s="8">
        <f>'Table Games'!I17</f>
        <v>272586</v>
      </c>
      <c r="J18" s="8">
        <f>Video!E15</f>
        <v>101797.23999999999</v>
      </c>
      <c r="K18" s="8">
        <f>'Table Games'!J17+Video!F15</f>
        <v>118422.79000000001</v>
      </c>
      <c r="L18" s="8">
        <f>'Table Games'!K17+Video!G15</f>
        <v>30934.82</v>
      </c>
      <c r="M18" s="8">
        <f>Video!H15</f>
        <v>4784.4900000000007</v>
      </c>
      <c r="N18" s="8">
        <f>'Table Games'!L17+Video!I15</f>
        <v>220241.14</v>
      </c>
    </row>
    <row r="19" spans="1:14" ht="15" customHeight="1" x14ac:dyDescent="0.25">
      <c r="A19" s="12">
        <f t="shared" si="0"/>
        <v>45178</v>
      </c>
      <c r="B19" s="8">
        <f>'Table Games'!B18</f>
        <v>158258</v>
      </c>
      <c r="C19" s="8">
        <f>'Table Games'!C18</f>
        <v>17553</v>
      </c>
      <c r="D19" s="8">
        <f>'Table Games'!D18</f>
        <v>0</v>
      </c>
      <c r="E19" s="8">
        <f>'Table Games'!E18</f>
        <v>0</v>
      </c>
      <c r="F19" s="8">
        <f>'Table Games'!F18</f>
        <v>7403</v>
      </c>
      <c r="G19" s="8">
        <f>'Table Games'!G18</f>
        <v>-90</v>
      </c>
      <c r="H19" s="8">
        <f>'Table Games'!H18</f>
        <v>8606</v>
      </c>
      <c r="I19" s="8">
        <f>'Table Games'!I18</f>
        <v>191730</v>
      </c>
      <c r="J19" s="8">
        <f>Video!E16</f>
        <v>122367.55999999982</v>
      </c>
      <c r="K19" s="8">
        <f>'Table Games'!J18+Video!F16</f>
        <v>101571.31</v>
      </c>
      <c r="L19" s="8">
        <f>'Table Games'!K18+Video!G16</f>
        <v>30389</v>
      </c>
      <c r="M19" s="8">
        <f>Video!H16</f>
        <v>5751.2699999999995</v>
      </c>
      <c r="N19" s="8">
        <f>'Table Games'!L18+Video!I16</f>
        <v>176385.98</v>
      </c>
    </row>
    <row r="20" spans="1:14" ht="15" customHeight="1" x14ac:dyDescent="0.25">
      <c r="A20" s="12">
        <f t="shared" si="0"/>
        <v>45185</v>
      </c>
      <c r="B20" s="8">
        <f>'Table Games'!B19</f>
        <v>50603</v>
      </c>
      <c r="C20" s="8">
        <f>'Table Games'!C19</f>
        <v>-3583</v>
      </c>
      <c r="D20" s="8">
        <f>'Table Games'!D19</f>
        <v>0</v>
      </c>
      <c r="E20" s="8">
        <f>'Table Games'!E19</f>
        <v>0</v>
      </c>
      <c r="F20" s="8">
        <f>'Table Games'!F19</f>
        <v>8777</v>
      </c>
      <c r="G20" s="8">
        <f>'Table Games'!G19</f>
        <v>0</v>
      </c>
      <c r="H20" s="8">
        <f>'Table Games'!H19</f>
        <v>8574</v>
      </c>
      <c r="I20" s="8">
        <f>'Table Games'!I19</f>
        <v>64371</v>
      </c>
      <c r="J20" s="8">
        <f>Video!E17</f>
        <v>33656.899999999907</v>
      </c>
      <c r="K20" s="8">
        <f>'Table Games'!J19+Video!F17</f>
        <v>31427.79</v>
      </c>
      <c r="L20" s="8">
        <f>'Table Games'!K19+Video!G17</f>
        <v>8940.2200000000012</v>
      </c>
      <c r="M20" s="8">
        <f>Video!H17</f>
        <v>1581.87</v>
      </c>
      <c r="N20" s="8">
        <f>'Table Games'!L19+Video!I17</f>
        <v>56078.020000000004</v>
      </c>
    </row>
    <row r="21" spans="1:14" ht="15" customHeight="1" x14ac:dyDescent="0.25">
      <c r="A21" s="12">
        <f t="shared" si="0"/>
        <v>45192</v>
      </c>
      <c r="B21" s="8">
        <f>'Table Games'!B20</f>
        <v>164361</v>
      </c>
      <c r="C21" s="8">
        <f>'Table Games'!C20</f>
        <v>57118</v>
      </c>
      <c r="D21" s="8">
        <f>'Table Games'!D20</f>
        <v>0</v>
      </c>
      <c r="E21" s="8">
        <f>'Table Games'!E20</f>
        <v>0</v>
      </c>
      <c r="F21" s="8">
        <f>'Table Games'!F20</f>
        <v>16815</v>
      </c>
      <c r="G21" s="8">
        <f>'Table Games'!G20</f>
        <v>0</v>
      </c>
      <c r="H21" s="8">
        <f>'Table Games'!H20</f>
        <v>21249</v>
      </c>
      <c r="I21" s="8">
        <f>'Table Games'!I20</f>
        <v>259543</v>
      </c>
      <c r="J21" s="8">
        <f>Video!E18</f>
        <v>96810.019999999786</v>
      </c>
      <c r="K21" s="8">
        <f>'Table Games'!J20+Video!F18</f>
        <v>112714.51</v>
      </c>
      <c r="L21" s="8">
        <f>'Table Games'!K20+Video!G18</f>
        <v>29434.85</v>
      </c>
      <c r="M21" s="8">
        <f>Video!H18</f>
        <v>4550.08</v>
      </c>
      <c r="N21" s="8">
        <f>'Table Games'!L20+Video!I18</f>
        <v>209653.58000000002</v>
      </c>
    </row>
    <row r="22" spans="1:14" ht="15" customHeight="1" x14ac:dyDescent="0.25">
      <c r="A22" s="12">
        <f t="shared" si="0"/>
        <v>45199</v>
      </c>
      <c r="B22" s="8">
        <f>'Table Games'!B21</f>
        <v>51529.5</v>
      </c>
      <c r="C22" s="8">
        <f>'Table Games'!C21</f>
        <v>-28732</v>
      </c>
      <c r="D22" s="8">
        <f>'Table Games'!D21</f>
        <v>0</v>
      </c>
      <c r="E22" s="8">
        <f>'Table Games'!E21</f>
        <v>0</v>
      </c>
      <c r="F22" s="8">
        <f>'Table Games'!F21</f>
        <v>5677</v>
      </c>
      <c r="G22" s="8">
        <f>'Table Games'!G21</f>
        <v>0</v>
      </c>
      <c r="H22" s="8">
        <f>'Table Games'!H21</f>
        <v>7240</v>
      </c>
      <c r="I22" s="8">
        <f>'Table Games'!I21</f>
        <v>35714.5</v>
      </c>
      <c r="J22" s="8">
        <f>Video!E19</f>
        <v>37473.25</v>
      </c>
      <c r="K22" s="8">
        <f>'Table Games'!J21+Video!F19</f>
        <v>24204.730000000003</v>
      </c>
      <c r="L22" s="8">
        <f>'Table Games'!K21+Video!G19</f>
        <v>8156.18</v>
      </c>
      <c r="M22" s="8">
        <f>Video!H19</f>
        <v>1761.24</v>
      </c>
      <c r="N22" s="8">
        <f>'Table Games'!L21+Video!I19</f>
        <v>39065.600000000006</v>
      </c>
    </row>
    <row r="23" spans="1:14" ht="15" customHeight="1" x14ac:dyDescent="0.25">
      <c r="A23" s="12">
        <f t="shared" si="0"/>
        <v>45206</v>
      </c>
      <c r="B23" s="8">
        <f>'Table Games'!B22</f>
        <v>78945.5</v>
      </c>
      <c r="C23" s="8">
        <f>'Table Games'!C22</f>
        <v>8269</v>
      </c>
      <c r="D23" s="8">
        <f>'Table Games'!D22</f>
        <v>0</v>
      </c>
      <c r="E23" s="8">
        <f>'Table Games'!E22</f>
        <v>0</v>
      </c>
      <c r="F23" s="8">
        <f>'Table Games'!F22</f>
        <v>-3744</v>
      </c>
      <c r="G23" s="8">
        <f>'Table Games'!G22</f>
        <v>-4780</v>
      </c>
      <c r="H23" s="8">
        <f>'Table Games'!H22</f>
        <v>13238</v>
      </c>
      <c r="I23" s="8">
        <f>'Table Games'!I22</f>
        <v>91928.5</v>
      </c>
      <c r="J23" s="8">
        <f>Video!E20</f>
        <v>117389.12999999989</v>
      </c>
      <c r="K23" s="8">
        <f>'Table Games'!J22+Video!F20</f>
        <v>69838.64</v>
      </c>
      <c r="L23" s="8">
        <f>'Table Games'!K22+Video!G20</f>
        <v>24552.58</v>
      </c>
      <c r="M23" s="8">
        <f>Video!H20</f>
        <v>5517.29</v>
      </c>
      <c r="N23" s="8">
        <f>'Table Games'!L22+Video!I20</f>
        <v>109409.12</v>
      </c>
    </row>
    <row r="24" spans="1:14" ht="15" customHeight="1" x14ac:dyDescent="0.25">
      <c r="A24" s="12">
        <f t="shared" si="0"/>
        <v>45213</v>
      </c>
      <c r="B24" s="8">
        <f>'Table Games'!B23</f>
        <v>142591.5</v>
      </c>
      <c r="C24" s="8">
        <f>'Table Games'!C23</f>
        <v>-10555</v>
      </c>
      <c r="D24" s="8">
        <f>'Table Games'!D23</f>
        <v>0</v>
      </c>
      <c r="E24" s="8">
        <f>'Table Games'!E23</f>
        <v>0</v>
      </c>
      <c r="F24" s="8">
        <f>'Table Games'!F23</f>
        <v>2791</v>
      </c>
      <c r="G24" s="8">
        <f>'Table Games'!G23</f>
        <v>0</v>
      </c>
      <c r="H24" s="8">
        <f>'Table Games'!H23</f>
        <v>-1320</v>
      </c>
      <c r="I24" s="8">
        <f>'Table Games'!I23</f>
        <v>133507.5</v>
      </c>
      <c r="J24" s="8">
        <f>Video!E21</f>
        <v>68988.62</v>
      </c>
      <c r="K24" s="8">
        <f>'Table Games'!J23+Video!F21</f>
        <v>64888.15</v>
      </c>
      <c r="L24" s="8">
        <f>'Table Games'!K23+Video!G21</f>
        <v>18403.439999999999</v>
      </c>
      <c r="M24" s="8">
        <f>Video!H21</f>
        <v>3242.47</v>
      </c>
      <c r="N24" s="8">
        <f>'Table Games'!L23+Video!I21</f>
        <v>115962.06000000001</v>
      </c>
    </row>
    <row r="25" spans="1:14" ht="15" customHeight="1" x14ac:dyDescent="0.25">
      <c r="A25" s="12">
        <f t="shared" si="0"/>
        <v>45220</v>
      </c>
      <c r="B25" s="8">
        <f>'Table Games'!B24</f>
        <v>12849.5</v>
      </c>
      <c r="C25" s="8">
        <f>'Table Games'!C24</f>
        <v>12091</v>
      </c>
      <c r="D25" s="8">
        <f>'Table Games'!D24</f>
        <v>0</v>
      </c>
      <c r="E25" s="8">
        <f>'Table Games'!E24</f>
        <v>0</v>
      </c>
      <c r="F25" s="8">
        <f>'Table Games'!F24</f>
        <v>17417</v>
      </c>
      <c r="G25" s="8">
        <f>'Table Games'!G24</f>
        <v>0</v>
      </c>
      <c r="H25" s="8">
        <f>'Table Games'!H24</f>
        <v>9466</v>
      </c>
      <c r="I25" s="8">
        <f>'Table Games'!I24</f>
        <v>51823.5</v>
      </c>
      <c r="J25" s="8">
        <f>Video!E22</f>
        <v>120721.77000000002</v>
      </c>
      <c r="K25" s="8">
        <f>'Table Games'!J24+Video!F22</f>
        <v>59006.87999999999</v>
      </c>
      <c r="L25" s="8">
        <f>'Table Games'!K24+Video!G22</f>
        <v>23113.89</v>
      </c>
      <c r="M25" s="8">
        <f>Video!H22</f>
        <v>5673.92</v>
      </c>
      <c r="N25" s="8">
        <f>'Table Games'!L24+Video!I22</f>
        <v>84750.579999999987</v>
      </c>
    </row>
    <row r="26" spans="1:14" ht="15" customHeight="1" x14ac:dyDescent="0.25">
      <c r="A26" s="12">
        <f t="shared" si="0"/>
        <v>45227</v>
      </c>
      <c r="B26" s="8">
        <f>'Table Games'!B25</f>
        <v>55263</v>
      </c>
      <c r="C26" s="8">
        <f>'Table Games'!C25</f>
        <v>19972</v>
      </c>
      <c r="D26" s="8">
        <f>'Table Games'!D25</f>
        <v>0</v>
      </c>
      <c r="E26" s="8">
        <f>'Table Games'!E25</f>
        <v>90</v>
      </c>
      <c r="F26" s="8">
        <f>'Table Games'!F25</f>
        <v>12882</v>
      </c>
      <c r="G26" s="8">
        <f>'Table Games'!G25</f>
        <v>0</v>
      </c>
      <c r="H26" s="8">
        <f>'Table Games'!H25</f>
        <v>13224</v>
      </c>
      <c r="I26" s="8">
        <f>'Table Games'!I25</f>
        <v>101431</v>
      </c>
      <c r="J26" s="8">
        <f>Video!E23</f>
        <v>167559.33000000007</v>
      </c>
      <c r="K26" s="8">
        <f>'Table Games'!J25+Video!F23</f>
        <v>90750.68</v>
      </c>
      <c r="L26" s="8">
        <f>'Table Games'!K25+Video!G23</f>
        <v>33556.630000000005</v>
      </c>
      <c r="M26" s="8">
        <f>Video!H23</f>
        <v>7875.28</v>
      </c>
      <c r="N26" s="8">
        <f>'Table Games'!L25+Video!I23</f>
        <v>136807.74</v>
      </c>
    </row>
    <row r="27" spans="1:14" ht="15" customHeight="1" x14ac:dyDescent="0.25">
      <c r="A27" s="12">
        <f t="shared" si="0"/>
        <v>45234</v>
      </c>
      <c r="B27" s="8">
        <f>'Table Games'!B26</f>
        <v>73759.5</v>
      </c>
      <c r="C27" s="8">
        <f>'Table Games'!C26</f>
        <v>16829</v>
      </c>
      <c r="D27" s="8">
        <f>'Table Games'!D26</f>
        <v>0</v>
      </c>
      <c r="E27" s="8">
        <f>'Table Games'!E26</f>
        <v>95</v>
      </c>
      <c r="F27" s="8">
        <f>'Table Games'!F26</f>
        <v>11292</v>
      </c>
      <c r="G27" s="8">
        <f>'Table Games'!G26</f>
        <v>0</v>
      </c>
      <c r="H27" s="8">
        <f>'Table Games'!H26</f>
        <v>11093</v>
      </c>
      <c r="I27" s="8">
        <f>'Table Games'!I26</f>
        <v>113068.5</v>
      </c>
      <c r="J27" s="8">
        <f>Video!E24</f>
        <v>11168.390000000014</v>
      </c>
      <c r="K27" s="8">
        <f>'Table Games'!J26+Video!F24</f>
        <v>37941.170000000006</v>
      </c>
      <c r="L27" s="8">
        <f>'Table Games'!K26+Video!G24</f>
        <v>7552.06</v>
      </c>
      <c r="M27" s="8">
        <f>Video!H24</f>
        <v>524.91</v>
      </c>
      <c r="N27" s="8">
        <f>'Table Games'!L26+Video!I24</f>
        <v>78218.75</v>
      </c>
    </row>
    <row r="28" spans="1:14" ht="15" customHeight="1" x14ac:dyDescent="0.25">
      <c r="A28" s="12">
        <f t="shared" si="0"/>
        <v>45241</v>
      </c>
      <c r="B28" s="8">
        <f>'Table Games'!B27</f>
        <v>82180.5</v>
      </c>
      <c r="C28" s="8">
        <f>'Table Games'!C27</f>
        <v>-5863</v>
      </c>
      <c r="D28" s="8">
        <f>'Table Games'!D27</f>
        <v>0</v>
      </c>
      <c r="E28" s="8">
        <f>'Table Games'!E27</f>
        <v>85</v>
      </c>
      <c r="F28" s="8">
        <f>'Table Games'!F27</f>
        <v>4514</v>
      </c>
      <c r="G28" s="8">
        <f>'Table Games'!G27</f>
        <v>0</v>
      </c>
      <c r="H28" s="8">
        <f>'Table Games'!H27</f>
        <v>542</v>
      </c>
      <c r="I28" s="8">
        <f>'Table Games'!I27</f>
        <v>81458.5</v>
      </c>
      <c r="J28" s="8">
        <f>Video!E25</f>
        <v>62955.050000000047</v>
      </c>
      <c r="K28" s="8">
        <f>'Table Games'!J27+Video!F25</f>
        <v>47101.36</v>
      </c>
      <c r="L28" s="8">
        <f>'Table Games'!K27+Video!G25</f>
        <v>14775.300000000001</v>
      </c>
      <c r="M28" s="8">
        <f>Video!H25</f>
        <v>2958.89</v>
      </c>
      <c r="N28" s="8">
        <f>'Table Games'!L27+Video!I25</f>
        <v>79578</v>
      </c>
    </row>
    <row r="29" spans="1:14" ht="15" customHeight="1" x14ac:dyDescent="0.25">
      <c r="A29" s="12">
        <f t="shared" si="0"/>
        <v>45248</v>
      </c>
      <c r="B29" s="8">
        <f>'Table Games'!B28</f>
        <v>155998</v>
      </c>
      <c r="C29" s="8">
        <f>'Table Games'!C28</f>
        <v>-3722</v>
      </c>
      <c r="D29" s="8">
        <f>'Table Games'!D28</f>
        <v>0</v>
      </c>
      <c r="E29" s="8">
        <f>'Table Games'!E28</f>
        <v>80</v>
      </c>
      <c r="F29" s="8">
        <f>'Table Games'!F28</f>
        <v>31708</v>
      </c>
      <c r="G29" s="8">
        <f>'Table Games'!G28</f>
        <v>0</v>
      </c>
      <c r="H29" s="8">
        <f>'Table Games'!H28</f>
        <v>12246</v>
      </c>
      <c r="I29" s="8">
        <f>'Table Games'!I28</f>
        <v>196310</v>
      </c>
      <c r="J29" s="8">
        <f>Video!E26</f>
        <v>126226.97999999998</v>
      </c>
      <c r="K29" s="8">
        <f>'Table Games'!J28+Video!F26</f>
        <v>104334.72</v>
      </c>
      <c r="L29" s="8">
        <f>'Table Games'!K28+Video!G26</f>
        <v>31274.09</v>
      </c>
      <c r="M29" s="8">
        <f>Video!H26</f>
        <v>5932.66</v>
      </c>
      <c r="N29" s="8">
        <f>'Table Games'!L28+Video!I26</f>
        <v>180995.51</v>
      </c>
    </row>
    <row r="30" spans="1:14" ht="15" customHeight="1" x14ac:dyDescent="0.25">
      <c r="A30" s="12">
        <f t="shared" si="0"/>
        <v>45255</v>
      </c>
      <c r="B30" s="8">
        <f>'Table Games'!B29</f>
        <v>233431</v>
      </c>
      <c r="C30" s="8">
        <f>'Table Games'!C29</f>
        <v>4183</v>
      </c>
      <c r="D30" s="8">
        <f>'Table Games'!D29</f>
        <v>0</v>
      </c>
      <c r="E30" s="8">
        <f>'Table Games'!E29</f>
        <v>75</v>
      </c>
      <c r="F30" s="8">
        <f>'Table Games'!F29</f>
        <v>12367</v>
      </c>
      <c r="G30" s="8">
        <f>'Table Games'!G29</f>
        <v>0</v>
      </c>
      <c r="H30" s="8">
        <f>'Table Games'!H29</f>
        <v>14925</v>
      </c>
      <c r="I30" s="8">
        <f>'Table Games'!I29</f>
        <v>264981</v>
      </c>
      <c r="J30" s="8">
        <f>Video!E27</f>
        <v>72650.599999999627</v>
      </c>
      <c r="K30" s="8">
        <f>'Table Games'!J29+Video!F27</f>
        <v>105648.5</v>
      </c>
      <c r="L30" s="8">
        <f>'Table Games'!K29+Video!G27</f>
        <v>25599.66</v>
      </c>
      <c r="M30" s="8">
        <f>Video!H27</f>
        <v>3414.58</v>
      </c>
      <c r="N30" s="8">
        <f>'Table Games'!L29+Video!I27</f>
        <v>202968.86</v>
      </c>
    </row>
    <row r="31" spans="1:14" ht="15" customHeight="1" x14ac:dyDescent="0.25">
      <c r="A31" s="12">
        <f t="shared" si="0"/>
        <v>45262</v>
      </c>
      <c r="B31" s="8">
        <f>'Table Games'!B30</f>
        <v>32192.5</v>
      </c>
      <c r="C31" s="8">
        <f>'Table Games'!C30</f>
        <v>39563</v>
      </c>
      <c r="D31" s="8">
        <f>'Table Games'!D30</f>
        <v>0</v>
      </c>
      <c r="E31" s="8">
        <f>'Table Games'!E30</f>
        <v>90</v>
      </c>
      <c r="F31" s="8">
        <f>'Table Games'!F30</f>
        <v>10450</v>
      </c>
      <c r="G31" s="8">
        <f>'Table Games'!G30</f>
        <v>4394</v>
      </c>
      <c r="H31" s="8">
        <f>'Table Games'!H30</f>
        <v>9386</v>
      </c>
      <c r="I31" s="8">
        <f>'Table Games'!I30</f>
        <v>96075.5</v>
      </c>
      <c r="J31" s="8">
        <f>Video!E28</f>
        <v>84964.189999999944</v>
      </c>
      <c r="K31" s="8">
        <f>'Table Games'!J30+Video!F28</f>
        <v>59409.740000000005</v>
      </c>
      <c r="L31" s="8">
        <f>'Table Games'!K30+Video!G28</f>
        <v>19247.7</v>
      </c>
      <c r="M31" s="8">
        <f>Video!H28</f>
        <v>3993.32</v>
      </c>
      <c r="N31" s="8">
        <f>'Table Games'!L30+Video!I28</f>
        <v>98388.93</v>
      </c>
    </row>
    <row r="32" spans="1:14" ht="15" customHeight="1" x14ac:dyDescent="0.25">
      <c r="A32" s="12">
        <f t="shared" si="0"/>
        <v>45269</v>
      </c>
      <c r="B32" s="8">
        <f>'Table Games'!B31</f>
        <v>106616.5</v>
      </c>
      <c r="C32" s="8">
        <f>'Table Games'!C31</f>
        <v>32524</v>
      </c>
      <c r="D32" s="8">
        <f>'Table Games'!D31</f>
        <v>0</v>
      </c>
      <c r="E32" s="8">
        <f>'Table Games'!E31</f>
        <v>65</v>
      </c>
      <c r="F32" s="8">
        <f>'Table Games'!F31</f>
        <v>-7586</v>
      </c>
      <c r="G32" s="8">
        <f>'Table Games'!G31</f>
        <v>0</v>
      </c>
      <c r="H32" s="8">
        <f>'Table Games'!H31</f>
        <v>8656</v>
      </c>
      <c r="I32" s="8">
        <f>'Table Games'!I31</f>
        <v>140275.5</v>
      </c>
      <c r="J32" s="8">
        <f>Video!E29</f>
        <v>74319.770000000019</v>
      </c>
      <c r="K32" s="8">
        <f>'Table Games'!J31+Video!F29</f>
        <v>68837.77</v>
      </c>
      <c r="L32" s="8">
        <f>'Table Games'!K31+Video!G29</f>
        <v>19648.13</v>
      </c>
      <c r="M32" s="8">
        <f>Video!H29</f>
        <v>3493.0400000000004</v>
      </c>
      <c r="N32" s="8">
        <f>'Table Games'!L31+Video!I29</f>
        <v>122616.33</v>
      </c>
    </row>
    <row r="33" spans="1:14" ht="15" customHeight="1" x14ac:dyDescent="0.25">
      <c r="A33" s="12">
        <f t="shared" si="0"/>
        <v>45276</v>
      </c>
      <c r="B33" s="8">
        <f>'Table Games'!B32</f>
        <v>25252</v>
      </c>
      <c r="C33" s="8">
        <f>'Table Games'!C32</f>
        <v>15241</v>
      </c>
      <c r="D33" s="8">
        <f>'Table Games'!D32</f>
        <v>0</v>
      </c>
      <c r="E33" s="8">
        <f>'Table Games'!E32</f>
        <v>95</v>
      </c>
      <c r="F33" s="8">
        <f>'Table Games'!F32</f>
        <v>4678</v>
      </c>
      <c r="G33" s="8">
        <f>'Table Games'!G32</f>
        <v>0</v>
      </c>
      <c r="H33" s="8">
        <f>'Table Games'!H32</f>
        <v>17641</v>
      </c>
      <c r="I33" s="8">
        <f>'Table Games'!I32</f>
        <v>62907</v>
      </c>
      <c r="J33" s="8">
        <f>Video!E30</f>
        <v>95297.090000000084</v>
      </c>
      <c r="K33" s="8">
        <f>'Table Games'!J32+Video!F30</f>
        <v>53179.039999999994</v>
      </c>
      <c r="L33" s="8">
        <f>'Table Games'!K32+Video!G30</f>
        <v>19345.87</v>
      </c>
      <c r="M33" s="8">
        <f>Video!H30</f>
        <v>4478.96</v>
      </c>
      <c r="N33" s="8">
        <f>'Table Games'!L32+Video!I30</f>
        <v>81200.22</v>
      </c>
    </row>
    <row r="34" spans="1:14" ht="15" customHeight="1" x14ac:dyDescent="0.25">
      <c r="A34" s="12">
        <f t="shared" si="0"/>
        <v>45283</v>
      </c>
      <c r="B34" s="8">
        <f>'Table Games'!B33</f>
        <v>122237.5</v>
      </c>
      <c r="C34" s="8">
        <f>'Table Games'!C33</f>
        <v>12296</v>
      </c>
      <c r="D34" s="8">
        <f>'Table Games'!D33</f>
        <v>0</v>
      </c>
      <c r="E34" s="8">
        <f>'Table Games'!E33</f>
        <v>0</v>
      </c>
      <c r="F34" s="8">
        <f>'Table Games'!F33</f>
        <v>68878</v>
      </c>
      <c r="G34" s="8">
        <f>'Table Games'!G33</f>
        <v>0</v>
      </c>
      <c r="H34" s="8">
        <f>'Table Games'!H33</f>
        <v>-442</v>
      </c>
      <c r="I34" s="8">
        <f>'Table Games'!I33</f>
        <v>202969.5</v>
      </c>
      <c r="J34" s="8">
        <f>Video!E31</f>
        <v>151451.10999999987</v>
      </c>
      <c r="K34" s="8">
        <f>'Table Games'!J33+Video!F31</f>
        <v>115413.26999999999</v>
      </c>
      <c r="L34" s="8">
        <f>'Table Games'!K33+Video!G31</f>
        <v>35895.160000000003</v>
      </c>
      <c r="M34" s="8">
        <f>Video!H31</f>
        <v>7118.2</v>
      </c>
      <c r="N34" s="8">
        <f>'Table Games'!L33+Video!I31</f>
        <v>195993.97999999998</v>
      </c>
    </row>
    <row r="35" spans="1:14" ht="15" customHeight="1" x14ac:dyDescent="0.25">
      <c r="A35" s="12">
        <f t="shared" si="0"/>
        <v>45290</v>
      </c>
      <c r="B35" s="8">
        <f>'Table Games'!B34</f>
        <v>49810</v>
      </c>
      <c r="C35" s="8">
        <f>'Table Games'!C34</f>
        <v>-11672</v>
      </c>
      <c r="D35" s="8">
        <f>'Table Games'!D34</f>
        <v>0</v>
      </c>
      <c r="E35" s="8">
        <f>'Table Games'!E34</f>
        <v>0</v>
      </c>
      <c r="F35" s="8">
        <f>'Table Games'!F34</f>
        <v>13015</v>
      </c>
      <c r="G35" s="8">
        <f>'Table Games'!G34</f>
        <v>0</v>
      </c>
      <c r="H35" s="8">
        <f>'Table Games'!H34</f>
        <v>20544</v>
      </c>
      <c r="I35" s="8">
        <f>'Table Games'!I34</f>
        <v>71697</v>
      </c>
      <c r="J35" s="8">
        <f>Video!E32</f>
        <v>128696.28999999992</v>
      </c>
      <c r="K35" s="8">
        <f>'Table Games'!J34+Video!F32</f>
        <v>67839.760000000009</v>
      </c>
      <c r="L35" s="8">
        <f>'Table Games'!K34+Video!G32</f>
        <v>25463.219999999998</v>
      </c>
      <c r="M35" s="8">
        <f>Video!H32</f>
        <v>6048.73</v>
      </c>
      <c r="N35" s="8">
        <f>'Table Games'!L34+Video!I32</f>
        <v>101041.58</v>
      </c>
    </row>
    <row r="36" spans="1:14" ht="15" customHeight="1" x14ac:dyDescent="0.25">
      <c r="A36" s="12">
        <f t="shared" si="0"/>
        <v>45297</v>
      </c>
      <c r="B36" s="8">
        <f>'Table Games'!B35</f>
        <v>17888.5</v>
      </c>
      <c r="C36" s="8">
        <f>'Table Games'!C35</f>
        <v>44852</v>
      </c>
      <c r="D36" s="8">
        <f>'Table Games'!D35</f>
        <v>0</v>
      </c>
      <c r="E36" s="8">
        <f>'Table Games'!E35</f>
        <v>0</v>
      </c>
      <c r="F36" s="8">
        <f>'Table Games'!F35</f>
        <v>5351</v>
      </c>
      <c r="G36" s="8">
        <f>'Table Games'!G35</f>
        <v>0</v>
      </c>
      <c r="H36" s="8">
        <f>'Table Games'!H35</f>
        <v>7972</v>
      </c>
      <c r="I36" s="8">
        <f>'Table Games'!I35</f>
        <v>76063.5</v>
      </c>
      <c r="J36" s="8">
        <f>Video!E33</f>
        <v>93229.259999999893</v>
      </c>
      <c r="K36" s="8">
        <f>'Table Games'!J35+Video!F33</f>
        <v>56381.58</v>
      </c>
      <c r="L36" s="8">
        <f>'Table Games'!K35+Video!G33</f>
        <v>19652.16</v>
      </c>
      <c r="M36" s="8">
        <f>Video!H33</f>
        <v>4381.7699999999995</v>
      </c>
      <c r="N36" s="8">
        <f>'Table Games'!L35+Video!I33</f>
        <v>88877.25</v>
      </c>
    </row>
    <row r="37" spans="1:14" ht="15" customHeight="1" x14ac:dyDescent="0.25">
      <c r="A37" s="12">
        <f t="shared" si="0"/>
        <v>45304</v>
      </c>
      <c r="B37" s="8">
        <f>'Table Games'!B36</f>
        <v>4549.5</v>
      </c>
      <c r="C37" s="8">
        <f>'Table Games'!C36</f>
        <v>7469</v>
      </c>
      <c r="D37" s="8">
        <f>'Table Games'!D36</f>
        <v>0</v>
      </c>
      <c r="E37" s="8">
        <f>'Table Games'!E36</f>
        <v>0</v>
      </c>
      <c r="F37" s="8">
        <f>'Table Games'!F36</f>
        <v>-9291</v>
      </c>
      <c r="G37" s="8">
        <f>'Table Games'!G36</f>
        <v>0</v>
      </c>
      <c r="H37" s="8">
        <f>'Table Games'!H36</f>
        <v>2174</v>
      </c>
      <c r="I37" s="8">
        <f>'Table Games'!I36</f>
        <v>4901.5</v>
      </c>
      <c r="J37" s="8">
        <f>Video!E34</f>
        <v>29224.930000000051</v>
      </c>
      <c r="K37" s="8">
        <f>'Table Games'!J36+Video!F34</f>
        <v>11991.42</v>
      </c>
      <c r="L37" s="8">
        <f>'Table Games'!K36+Video!G34</f>
        <v>5213.33</v>
      </c>
      <c r="M37" s="8">
        <f>Video!H34</f>
        <v>1373.57</v>
      </c>
      <c r="N37" s="8">
        <f>'Table Games'!L36+Video!I34</f>
        <v>15548.109999999999</v>
      </c>
    </row>
    <row r="38" spans="1:14" ht="15" customHeight="1" x14ac:dyDescent="0.25">
      <c r="A38" s="12">
        <f t="shared" si="0"/>
        <v>45311</v>
      </c>
      <c r="B38" s="8">
        <f>'Table Games'!B37</f>
        <v>102619</v>
      </c>
      <c r="C38" s="8">
        <f>'Table Games'!C37</f>
        <v>20243</v>
      </c>
      <c r="D38" s="8">
        <f>'Table Games'!D37</f>
        <v>0</v>
      </c>
      <c r="E38" s="8">
        <f>'Table Games'!E37</f>
        <v>0</v>
      </c>
      <c r="F38" s="8">
        <f>'Table Games'!F37</f>
        <v>4253</v>
      </c>
      <c r="G38" s="8">
        <f>'Table Games'!G37</f>
        <v>-8675</v>
      </c>
      <c r="H38" s="8">
        <f>'Table Games'!H37</f>
        <v>7982</v>
      </c>
      <c r="I38" s="8">
        <f>'Table Games'!I37</f>
        <v>126422</v>
      </c>
      <c r="J38" s="8">
        <f>Video!E35</f>
        <v>110567.64999999991</v>
      </c>
      <c r="K38" s="8">
        <f>'Table Games'!J37+Video!F35</f>
        <v>77730.95</v>
      </c>
      <c r="L38" s="8">
        <f>'Table Games'!K37+Video!G35</f>
        <v>25117.61</v>
      </c>
      <c r="M38" s="8">
        <f>Video!H35</f>
        <v>5196.68</v>
      </c>
      <c r="N38" s="8">
        <f>'Table Games'!L37+Video!I35</f>
        <v>128944.41</v>
      </c>
    </row>
    <row r="39" spans="1:14" ht="15" customHeight="1" x14ac:dyDescent="0.25">
      <c r="A39" s="12">
        <f t="shared" si="0"/>
        <v>45318</v>
      </c>
      <c r="B39" s="8">
        <f>'Table Games'!B38</f>
        <v>138859.5</v>
      </c>
      <c r="C39" s="8">
        <f>'Table Games'!C38</f>
        <v>24812</v>
      </c>
      <c r="D39" s="8">
        <f>'Table Games'!D38</f>
        <v>0</v>
      </c>
      <c r="E39" s="8">
        <f>'Table Games'!E38</f>
        <v>0</v>
      </c>
      <c r="F39" s="8">
        <f>'Table Games'!F38</f>
        <v>842</v>
      </c>
      <c r="G39" s="8">
        <f>'Table Games'!G38</f>
        <v>0</v>
      </c>
      <c r="H39" s="8">
        <f>'Table Games'!H38</f>
        <v>4643</v>
      </c>
      <c r="I39" s="8">
        <f>'Table Games'!I38</f>
        <v>169156.5</v>
      </c>
      <c r="J39" s="8">
        <f>Video!E36</f>
        <v>136771.07000000007</v>
      </c>
      <c r="K39" s="8">
        <f>'Table Games'!J38+Video!F36</f>
        <v>99984.549999999988</v>
      </c>
      <c r="L39" s="8">
        <f>'Table Games'!K38+Video!G36</f>
        <v>31708.910000000003</v>
      </c>
      <c r="M39" s="8">
        <f>Video!H36</f>
        <v>6428.23</v>
      </c>
      <c r="N39" s="8">
        <f>'Table Games'!L38+Video!I36</f>
        <v>167805.88</v>
      </c>
    </row>
    <row r="40" spans="1:14" ht="15" customHeight="1" x14ac:dyDescent="0.25">
      <c r="A40" s="12">
        <f t="shared" si="0"/>
        <v>45325</v>
      </c>
      <c r="B40" s="8">
        <f>'Table Games'!B39</f>
        <v>-10462</v>
      </c>
      <c r="C40" s="8">
        <f>'Table Games'!C39</f>
        <v>11655</v>
      </c>
      <c r="D40" s="8">
        <f>'Table Games'!D39</f>
        <v>0</v>
      </c>
      <c r="E40" s="8">
        <f>'Table Games'!E39</f>
        <v>0</v>
      </c>
      <c r="F40" s="8">
        <f>'Table Games'!F39</f>
        <v>11402</v>
      </c>
      <c r="G40" s="8">
        <f>'Table Games'!G39</f>
        <v>0</v>
      </c>
      <c r="H40" s="8">
        <f>'Table Games'!H39</f>
        <v>5537</v>
      </c>
      <c r="I40" s="8">
        <f>'Table Games'!I39</f>
        <v>18132</v>
      </c>
      <c r="J40" s="8">
        <f>Video!E37</f>
        <v>54604</v>
      </c>
      <c r="K40" s="8">
        <f>'Table Games'!J39+Video!F37</f>
        <v>25097.040000000001</v>
      </c>
      <c r="L40" s="8">
        <f>'Table Games'!K39+Video!G37</f>
        <v>10189.280000000001</v>
      </c>
      <c r="M40" s="8">
        <f>Video!H37</f>
        <v>2566.39</v>
      </c>
      <c r="N40" s="8">
        <f>'Table Games'!L39+Video!I37</f>
        <v>34883.29</v>
      </c>
    </row>
    <row r="41" spans="1:14" ht="15" customHeight="1" x14ac:dyDescent="0.25">
      <c r="A41" s="12">
        <f t="shared" si="0"/>
        <v>45332</v>
      </c>
      <c r="B41" s="8">
        <f>'Table Games'!B40</f>
        <v>156136</v>
      </c>
      <c r="C41" s="8">
        <f>'Table Games'!C40</f>
        <v>524</v>
      </c>
      <c r="D41" s="8">
        <f>'Table Games'!D40</f>
        <v>0</v>
      </c>
      <c r="E41" s="8">
        <f>'Table Games'!E40</f>
        <v>0</v>
      </c>
      <c r="F41" s="8">
        <f>'Table Games'!F40</f>
        <v>7445</v>
      </c>
      <c r="G41" s="8">
        <f>'Table Games'!G40</f>
        <v>0</v>
      </c>
      <c r="H41" s="8">
        <f>'Table Games'!H40</f>
        <v>6429</v>
      </c>
      <c r="I41" s="8">
        <f>'Table Games'!I40</f>
        <v>170534</v>
      </c>
      <c r="J41" s="8">
        <f>Video!E38</f>
        <v>147488.44000000041</v>
      </c>
      <c r="K41" s="8">
        <f>'Table Games'!J40+Video!F38</f>
        <v>104256.03</v>
      </c>
      <c r="L41" s="8">
        <f>'Table Games'!K40+Video!G38</f>
        <v>33599.75</v>
      </c>
      <c r="M41" s="8">
        <f>Video!H38</f>
        <v>6931.96</v>
      </c>
      <c r="N41" s="8">
        <f>'Table Games'!L40+Video!I38</f>
        <v>173234.7</v>
      </c>
    </row>
    <row r="42" spans="1:14" ht="15" customHeight="1" x14ac:dyDescent="0.25">
      <c r="A42" s="12">
        <f t="shared" si="0"/>
        <v>45339</v>
      </c>
      <c r="B42" s="8">
        <f>'Table Games'!B41</f>
        <v>29691.5</v>
      </c>
      <c r="C42" s="8">
        <f>'Table Games'!C41</f>
        <v>23218</v>
      </c>
      <c r="D42" s="8">
        <f>'Table Games'!D41</f>
        <v>0</v>
      </c>
      <c r="E42" s="8">
        <f>'Table Games'!E41</f>
        <v>0</v>
      </c>
      <c r="F42" s="8">
        <f>'Table Games'!F41</f>
        <v>30310</v>
      </c>
      <c r="G42" s="8">
        <f>'Table Games'!G41</f>
        <v>0</v>
      </c>
      <c r="H42" s="8">
        <f>'Table Games'!H41</f>
        <v>7355</v>
      </c>
      <c r="I42" s="8">
        <f>'Table Games'!I41</f>
        <v>90574.5</v>
      </c>
      <c r="J42" s="8">
        <f>Video!E39</f>
        <v>52812.570000000065</v>
      </c>
      <c r="K42" s="8">
        <f>'Table Games'!J41+Video!F39</f>
        <v>46184.86</v>
      </c>
      <c r="L42" s="8">
        <f>'Table Games'!K41+Video!G39</f>
        <v>13506.88</v>
      </c>
      <c r="M42" s="8">
        <f>Video!H39</f>
        <v>2482.19</v>
      </c>
      <c r="N42" s="8">
        <f>'Table Games'!L41+Video!I39</f>
        <v>81213.14</v>
      </c>
    </row>
    <row r="43" spans="1:14" ht="15" customHeight="1" x14ac:dyDescent="0.25">
      <c r="A43" s="12">
        <f t="shared" si="0"/>
        <v>45346</v>
      </c>
      <c r="B43" s="8">
        <f>'Table Games'!B42</f>
        <v>35237</v>
      </c>
      <c r="C43" s="8">
        <f>'Table Games'!C42</f>
        <v>4991</v>
      </c>
      <c r="D43" s="8">
        <f>'Table Games'!D42</f>
        <v>0</v>
      </c>
      <c r="E43" s="8">
        <f>'Table Games'!E42</f>
        <v>210</v>
      </c>
      <c r="F43" s="8">
        <f>'Table Games'!F42</f>
        <v>-10634</v>
      </c>
      <c r="G43" s="8">
        <f>'Table Games'!G42</f>
        <v>0</v>
      </c>
      <c r="H43" s="8">
        <f>'Table Games'!H42</f>
        <v>10585</v>
      </c>
      <c r="I43" s="8">
        <f>'Table Games'!I42</f>
        <v>40389</v>
      </c>
      <c r="J43" s="8">
        <f>Video!E40</f>
        <v>104646.85999999987</v>
      </c>
      <c r="K43" s="8">
        <f>'Table Games'!J42+Video!F40</f>
        <v>49789.55</v>
      </c>
      <c r="L43" s="8">
        <f>'Table Games'!K42+Video!G40</f>
        <v>19809.43</v>
      </c>
      <c r="M43" s="8">
        <f>Video!H40</f>
        <v>4918.3999999999996</v>
      </c>
      <c r="N43" s="8">
        <f>'Table Games'!L42+Video!I40</f>
        <v>70518.48000000001</v>
      </c>
    </row>
    <row r="44" spans="1:14" ht="15" customHeight="1" x14ac:dyDescent="0.25">
      <c r="A44" s="12">
        <f t="shared" si="0"/>
        <v>45353</v>
      </c>
      <c r="B44" s="8">
        <f>'Table Games'!B43</f>
        <v>-19002.5</v>
      </c>
      <c r="C44" s="8">
        <f>'Table Games'!C43</f>
        <v>20773</v>
      </c>
      <c r="D44" s="8">
        <f>'Table Games'!D43</f>
        <v>0</v>
      </c>
      <c r="E44" s="8">
        <f>'Table Games'!E43</f>
        <v>160</v>
      </c>
      <c r="F44" s="8">
        <f>'Table Games'!F43</f>
        <v>8493</v>
      </c>
      <c r="G44" s="8">
        <f>'Table Games'!G43</f>
        <v>0</v>
      </c>
      <c r="H44" s="8">
        <f>'Table Games'!H43</f>
        <v>5710</v>
      </c>
      <c r="I44" s="8">
        <f>'Table Games'!I43</f>
        <v>16133.5</v>
      </c>
      <c r="J44" s="8">
        <f>Video!E41</f>
        <v>41778.240000000107</v>
      </c>
      <c r="K44" s="8">
        <f>'Table Games'!J43+Video!F41</f>
        <v>19880.18</v>
      </c>
      <c r="L44" s="8">
        <f>'Table Games'!K43+Video!G41</f>
        <v>7908.9900000000007</v>
      </c>
      <c r="M44" s="8">
        <f>Video!H41</f>
        <v>1963.59</v>
      </c>
      <c r="N44" s="8">
        <f>'Table Games'!L43+Video!I41</f>
        <v>28158.98</v>
      </c>
    </row>
    <row r="45" spans="1:14" ht="15" customHeight="1" x14ac:dyDescent="0.25">
      <c r="A45" s="12">
        <f t="shared" si="0"/>
        <v>45360</v>
      </c>
      <c r="B45" s="8">
        <f>'Table Games'!B44</f>
        <v>66467</v>
      </c>
      <c r="C45" s="8">
        <f>'Table Games'!C44</f>
        <v>13611</v>
      </c>
      <c r="D45" s="8">
        <f>'Table Games'!D44</f>
        <v>0</v>
      </c>
      <c r="E45" s="8">
        <f>'Table Games'!E44</f>
        <v>170</v>
      </c>
      <c r="F45" s="8">
        <f>'Table Games'!F44</f>
        <v>10517</v>
      </c>
      <c r="G45" s="8">
        <f>'Table Games'!G44</f>
        <v>0</v>
      </c>
      <c r="H45" s="8">
        <f>'Table Games'!H44</f>
        <v>5789</v>
      </c>
      <c r="I45" s="8">
        <f>'Table Games'!I44</f>
        <v>96554</v>
      </c>
      <c r="J45" s="8">
        <f>Video!E42</f>
        <v>50400.820000000065</v>
      </c>
      <c r="K45" s="8">
        <f>'Table Games'!J44+Video!F42</f>
        <v>47110.47</v>
      </c>
      <c r="L45" s="8">
        <f>'Table Games'!K44+Video!G42</f>
        <v>13395.84</v>
      </c>
      <c r="M45" s="8">
        <f>Video!H42</f>
        <v>2368.8500000000004</v>
      </c>
      <c r="N45" s="8">
        <f>'Table Games'!L44+Video!I42</f>
        <v>84079.66</v>
      </c>
    </row>
    <row r="46" spans="1:14" ht="15" customHeight="1" x14ac:dyDescent="0.25">
      <c r="A46" s="12">
        <f t="shared" si="0"/>
        <v>45367</v>
      </c>
      <c r="B46" s="8">
        <f>'Table Games'!B45</f>
        <v>10845</v>
      </c>
      <c r="C46" s="8">
        <f>'Table Games'!C45</f>
        <v>24122</v>
      </c>
      <c r="D46" s="8">
        <f>'Table Games'!D45</f>
        <v>0</v>
      </c>
      <c r="E46" s="8">
        <f>'Table Games'!E45</f>
        <v>180</v>
      </c>
      <c r="F46" s="8">
        <f>'Table Games'!F45</f>
        <v>9568</v>
      </c>
      <c r="G46" s="8">
        <f>'Table Games'!G45</f>
        <v>0</v>
      </c>
      <c r="H46" s="8">
        <f>'Table Games'!H45</f>
        <v>4853</v>
      </c>
      <c r="I46" s="8">
        <f>'Table Games'!I45</f>
        <v>49568</v>
      </c>
      <c r="J46" s="8">
        <f>Video!E43</f>
        <v>38706.79999999993</v>
      </c>
      <c r="K46" s="8">
        <f>'Table Games'!J45+Video!F43</f>
        <v>28804.83</v>
      </c>
      <c r="L46" s="8">
        <f>'Table Games'!K45+Video!G43</f>
        <v>9058.56</v>
      </c>
      <c r="M46" s="8">
        <f>Video!H43</f>
        <v>1819.22</v>
      </c>
      <c r="N46" s="8">
        <f>'Table Games'!L45+Video!I43</f>
        <v>48592.19</v>
      </c>
    </row>
    <row r="47" spans="1:14" ht="15" customHeight="1" x14ac:dyDescent="0.25">
      <c r="A47" s="12">
        <f t="shared" si="0"/>
        <v>45374</v>
      </c>
      <c r="B47" s="8">
        <f>'Table Games'!B46</f>
        <v>131079</v>
      </c>
      <c r="C47" s="8">
        <f>'Table Games'!C46</f>
        <v>44888</v>
      </c>
      <c r="D47" s="8">
        <f>'Table Games'!D46</f>
        <v>0</v>
      </c>
      <c r="E47" s="8">
        <f>'Table Games'!E46</f>
        <v>190</v>
      </c>
      <c r="F47" s="8">
        <f>'Table Games'!F46</f>
        <v>-8298</v>
      </c>
      <c r="G47" s="8">
        <f>'Table Games'!G46</f>
        <v>0</v>
      </c>
      <c r="H47" s="8">
        <f>'Table Games'!H46</f>
        <v>3447</v>
      </c>
      <c r="I47" s="8">
        <f>'Table Games'!I46</f>
        <v>171306</v>
      </c>
      <c r="J47" s="8">
        <f>Video!E44</f>
        <v>69946.949999999953</v>
      </c>
      <c r="K47" s="8">
        <f>'Table Games'!J46+Video!F44</f>
        <v>76572.680000000008</v>
      </c>
      <c r="L47" s="8">
        <f>'Table Games'!K46+Video!G44</f>
        <v>20456.28</v>
      </c>
      <c r="M47" s="8">
        <f>Video!H44</f>
        <v>3287.51</v>
      </c>
      <c r="N47" s="8">
        <f>'Table Games'!L46+Video!I44</f>
        <v>140936.47999999998</v>
      </c>
    </row>
    <row r="48" spans="1:14" ht="15" customHeight="1" x14ac:dyDescent="0.25">
      <c r="A48" s="12">
        <f t="shared" si="0"/>
        <v>45381</v>
      </c>
      <c r="B48" s="8">
        <f>'Table Games'!B47</f>
        <v>103923.5</v>
      </c>
      <c r="C48" s="8">
        <f>'Table Games'!C47</f>
        <v>-11301</v>
      </c>
      <c r="D48" s="8">
        <f>'Table Games'!D47</f>
        <v>0</v>
      </c>
      <c r="E48" s="8">
        <f>'Table Games'!E47</f>
        <v>140</v>
      </c>
      <c r="F48" s="8">
        <f>'Table Games'!F47</f>
        <v>21695</v>
      </c>
      <c r="G48" s="8">
        <f>'Table Games'!G47</f>
        <v>0</v>
      </c>
      <c r="H48" s="8">
        <f>'Table Games'!H47</f>
        <v>2205</v>
      </c>
      <c r="I48" s="8">
        <f>'Table Games'!I47</f>
        <v>116662.5</v>
      </c>
      <c r="J48" s="8">
        <f>Video!E45</f>
        <v>36266.270000000019</v>
      </c>
      <c r="K48" s="8">
        <f>'Table Games'!J47+Video!F45</f>
        <v>48054.61</v>
      </c>
      <c r="L48" s="8">
        <f>'Table Games'!K47+Video!G45</f>
        <v>11998.400000000001</v>
      </c>
      <c r="M48" s="8">
        <f>Video!H45</f>
        <v>1704.51</v>
      </c>
      <c r="N48" s="8">
        <f>'Table Games'!L47+Video!I45</f>
        <v>91171.250000000015</v>
      </c>
    </row>
    <row r="49" spans="1:14" ht="15" customHeight="1" x14ac:dyDescent="0.25">
      <c r="A49" s="12">
        <f t="shared" si="0"/>
        <v>45388</v>
      </c>
      <c r="B49" s="8">
        <f>'Table Games'!B48</f>
        <v>51384.5</v>
      </c>
      <c r="C49" s="8">
        <f>'Table Games'!C48</f>
        <v>15671</v>
      </c>
      <c r="D49" s="8">
        <f>'Table Games'!D48</f>
        <v>0</v>
      </c>
      <c r="E49" s="8">
        <f>'Table Games'!E48</f>
        <v>190</v>
      </c>
      <c r="F49" s="8">
        <f>'Table Games'!F48</f>
        <v>8745</v>
      </c>
      <c r="G49" s="8">
        <f>'Table Games'!G48</f>
        <v>0</v>
      </c>
      <c r="H49" s="8">
        <f>'Table Games'!H48</f>
        <v>6504</v>
      </c>
      <c r="I49" s="8">
        <f>'Table Games'!I48</f>
        <v>82494.5</v>
      </c>
      <c r="J49" s="8">
        <f>Video!E46</f>
        <v>23515.459999999963</v>
      </c>
      <c r="K49" s="8">
        <f>'Table Games'!J48+Video!F46</f>
        <v>33213.96</v>
      </c>
      <c r="L49" s="8">
        <f>'Table Games'!K48+Video!G46</f>
        <v>8122.34</v>
      </c>
      <c r="M49" s="8">
        <f>Video!H46</f>
        <v>1105.21</v>
      </c>
      <c r="N49" s="8">
        <f>'Table Games'!L48+Video!I46</f>
        <v>63568.45</v>
      </c>
    </row>
    <row r="50" spans="1:14" ht="15" customHeight="1" x14ac:dyDescent="0.25">
      <c r="A50" s="12">
        <f t="shared" si="0"/>
        <v>45395</v>
      </c>
      <c r="B50" s="8">
        <f>'Table Games'!B49</f>
        <v>18945.5</v>
      </c>
      <c r="C50" s="8">
        <f>'Table Games'!C49</f>
        <v>12707</v>
      </c>
      <c r="D50" s="8">
        <f>'Table Games'!D49</f>
        <v>1750</v>
      </c>
      <c r="E50" s="8">
        <f>'Table Games'!E49</f>
        <v>180</v>
      </c>
      <c r="F50" s="8">
        <f>'Table Games'!F49</f>
        <v>-2268</v>
      </c>
      <c r="G50" s="8">
        <f>'Table Games'!G49</f>
        <v>0</v>
      </c>
      <c r="H50" s="8">
        <f>'Table Games'!H49</f>
        <v>10923</v>
      </c>
      <c r="I50" s="8">
        <f>'Table Games'!I49</f>
        <v>42237.5</v>
      </c>
      <c r="J50" s="8">
        <f>Video!E47</f>
        <v>36294.469999999972</v>
      </c>
      <c r="K50" s="8">
        <f>'Table Games'!J49+Video!F47</f>
        <v>25737.260000000002</v>
      </c>
      <c r="L50" s="8">
        <f>'Table Games'!K49+Video!G47</f>
        <v>8281.94</v>
      </c>
      <c r="M50" s="8">
        <f>Video!H47</f>
        <v>1705.84</v>
      </c>
      <c r="N50" s="8">
        <f>'Table Games'!L49+Video!I47</f>
        <v>42806.93</v>
      </c>
    </row>
    <row r="51" spans="1:14" ht="15" customHeight="1" x14ac:dyDescent="0.25">
      <c r="A51" s="12">
        <f t="shared" si="0"/>
        <v>45402</v>
      </c>
      <c r="B51" s="8">
        <f>'Table Games'!B50</f>
        <v>-6966</v>
      </c>
      <c r="C51" s="8">
        <f>'Table Games'!C50</f>
        <v>42019</v>
      </c>
      <c r="D51" s="8">
        <f>'Table Games'!D50</f>
        <v>0</v>
      </c>
      <c r="E51" s="8">
        <f>'Table Games'!E50</f>
        <v>0</v>
      </c>
      <c r="F51" s="8">
        <f>'Table Games'!F50</f>
        <v>-15666</v>
      </c>
      <c r="G51" s="8">
        <f>'Table Games'!G50</f>
        <v>0</v>
      </c>
      <c r="H51" s="8">
        <f>'Table Games'!H50</f>
        <v>2293</v>
      </c>
      <c r="I51" s="8">
        <f>'Table Games'!I50</f>
        <v>21680</v>
      </c>
      <c r="J51" s="8">
        <f>Video!E48</f>
        <v>-1791.9899999999907</v>
      </c>
      <c r="K51" s="8">
        <f>'Table Games'!J50+Video!F48</f>
        <v>5858.86</v>
      </c>
      <c r="L51" s="8">
        <f>'Table Games'!K50+Video!G48</f>
        <v>779.37</v>
      </c>
      <c r="M51" s="8">
        <f>Video!H48</f>
        <v>-84.22</v>
      </c>
      <c r="N51" s="8">
        <f>'Table Games'!L50+Video!I48</f>
        <v>13334</v>
      </c>
    </row>
    <row r="52" spans="1:14" ht="15" customHeight="1" x14ac:dyDescent="0.25">
      <c r="A52" s="12">
        <f t="shared" si="0"/>
        <v>45409</v>
      </c>
      <c r="B52" s="8">
        <f>'Table Games'!B51</f>
        <v>42831</v>
      </c>
      <c r="C52" s="8">
        <f>'Table Games'!C51</f>
        <v>-3521</v>
      </c>
      <c r="D52" s="8">
        <f>'Table Games'!D51</f>
        <v>0</v>
      </c>
      <c r="E52" s="8">
        <f>'Table Games'!E51</f>
        <v>0</v>
      </c>
      <c r="F52" s="8">
        <f>'Table Games'!F51</f>
        <v>23289</v>
      </c>
      <c r="G52" s="8">
        <f>'Table Games'!G51</f>
        <v>0</v>
      </c>
      <c r="H52" s="8">
        <f>'Table Games'!H51</f>
        <v>5020</v>
      </c>
      <c r="I52" s="8">
        <f>'Table Games'!I51</f>
        <v>67619</v>
      </c>
      <c r="J52" s="8">
        <f>Video!E49</f>
        <v>100723.08000000007</v>
      </c>
      <c r="K52" s="8">
        <f>'Table Games'!J51+Video!F49</f>
        <v>56546.03</v>
      </c>
      <c r="L52" s="8">
        <f>'Table Games'!K51+Video!G49</f>
        <v>20503.86</v>
      </c>
      <c r="M52" s="8">
        <f>Video!H49</f>
        <v>4733.9799999999996</v>
      </c>
      <c r="N52" s="8">
        <f>'Table Games'!L51+Video!I49</f>
        <v>86558.209999999992</v>
      </c>
    </row>
    <row r="53" spans="1:14" ht="15" customHeight="1" x14ac:dyDescent="0.25">
      <c r="A53" s="12">
        <f t="shared" si="0"/>
        <v>45416</v>
      </c>
      <c r="B53" s="8">
        <f>'Table Games'!B52</f>
        <v>43856</v>
      </c>
      <c r="C53" s="8">
        <f>'Table Games'!C52</f>
        <v>29517</v>
      </c>
      <c r="D53" s="8">
        <f>'Table Games'!D52</f>
        <v>0</v>
      </c>
      <c r="E53" s="8">
        <f>'Table Games'!E52</f>
        <v>0</v>
      </c>
      <c r="F53" s="8">
        <f>'Table Games'!F52</f>
        <v>21231</v>
      </c>
      <c r="G53" s="8">
        <f>'Table Games'!G52</f>
        <v>0</v>
      </c>
      <c r="H53" s="8">
        <f>'Table Games'!H52</f>
        <v>7722</v>
      </c>
      <c r="I53" s="8">
        <f>'Table Games'!I52</f>
        <v>102326</v>
      </c>
      <c r="J53" s="8">
        <f>Video!E50</f>
        <v>107703.57000000007</v>
      </c>
      <c r="K53" s="8">
        <f>'Table Games'!J52+Video!F50</f>
        <v>69471.070000000007</v>
      </c>
      <c r="L53" s="8">
        <f>'Table Games'!K52+Video!G50</f>
        <v>23425.9</v>
      </c>
      <c r="M53" s="8">
        <f>Video!H50</f>
        <v>5062.08</v>
      </c>
      <c r="N53" s="8">
        <f>'Table Games'!L52+Video!I50</f>
        <v>112070.51999999999</v>
      </c>
    </row>
    <row r="54" spans="1:14" ht="15" customHeight="1" x14ac:dyDescent="0.25">
      <c r="A54" s="12">
        <f t="shared" si="0"/>
        <v>45423</v>
      </c>
      <c r="B54" s="8">
        <f>'Table Games'!B53</f>
        <v>49858</v>
      </c>
      <c r="C54" s="8">
        <f>'Table Games'!C53</f>
        <v>20801</v>
      </c>
      <c r="D54" s="8">
        <f>'Table Games'!D53</f>
        <v>0</v>
      </c>
      <c r="E54" s="8">
        <f>'Table Games'!E53</f>
        <v>0</v>
      </c>
      <c r="F54" s="8">
        <f>'Table Games'!F53</f>
        <v>4810</v>
      </c>
      <c r="G54" s="8">
        <f>'Table Games'!G53</f>
        <v>0</v>
      </c>
      <c r="H54" s="8">
        <f>'Table Games'!H53</f>
        <v>1433</v>
      </c>
      <c r="I54" s="8">
        <f>'Table Games'!I53</f>
        <v>76902</v>
      </c>
      <c r="J54" s="8">
        <f>Video!E51</f>
        <v>66472.479999999981</v>
      </c>
      <c r="K54" s="8">
        <f>'Table Games'!J53+Video!F51</f>
        <v>47000.7</v>
      </c>
      <c r="L54" s="8">
        <f>'Table Games'!K53+Video!G51</f>
        <v>15145.42</v>
      </c>
      <c r="M54" s="8">
        <f>Video!H51</f>
        <v>3124.2</v>
      </c>
      <c r="N54" s="8">
        <f>'Table Games'!L53+Video!I51</f>
        <v>78104.160000000003</v>
      </c>
    </row>
    <row r="55" spans="1:14" ht="15" customHeight="1" x14ac:dyDescent="0.25">
      <c r="A55" s="12">
        <f t="shared" si="0"/>
        <v>45430</v>
      </c>
      <c r="B55" s="8">
        <f>'Table Games'!B54</f>
        <v>10129.497000000003</v>
      </c>
      <c r="C55" s="8">
        <f>'Table Games'!C54</f>
        <v>42617</v>
      </c>
      <c r="D55" s="8">
        <f>'Table Games'!D54</f>
        <v>0</v>
      </c>
      <c r="E55" s="8">
        <f>'Table Games'!E54</f>
        <v>0</v>
      </c>
      <c r="F55" s="8">
        <f>'Table Games'!F54</f>
        <v>6763</v>
      </c>
      <c r="G55" s="8">
        <f>'Table Games'!G54</f>
        <v>0</v>
      </c>
      <c r="H55" s="8">
        <f>'Table Games'!H54</f>
        <v>11745</v>
      </c>
      <c r="I55" s="8">
        <f>'Table Games'!I54</f>
        <v>71254.497000000003</v>
      </c>
      <c r="J55" s="8">
        <f>Video!E52</f>
        <v>38966.669999999925</v>
      </c>
      <c r="K55" s="8">
        <f>'Table Games'!J54+Video!F52</f>
        <v>35404.35</v>
      </c>
      <c r="L55" s="8">
        <f>'Table Games'!K54+Video!G52</f>
        <v>10187.039999999999</v>
      </c>
      <c r="M55" s="8">
        <f>Video!H52</f>
        <v>1831.44</v>
      </c>
      <c r="N55" s="8">
        <f>'Table Games'!L54+Video!I52</f>
        <v>62798.34</v>
      </c>
    </row>
    <row r="56" spans="1:14" ht="15" customHeight="1" x14ac:dyDescent="0.25">
      <c r="A56" s="12">
        <f t="shared" si="0"/>
        <v>45437</v>
      </c>
      <c r="B56" s="8">
        <f>'Table Games'!B55</f>
        <v>202109.5</v>
      </c>
      <c r="C56" s="8">
        <f>'Table Games'!C55</f>
        <v>-11380</v>
      </c>
      <c r="D56" s="8">
        <f>'Table Games'!D55</f>
        <v>0</v>
      </c>
      <c r="E56" s="8">
        <f>'Table Games'!E55</f>
        <v>0</v>
      </c>
      <c r="F56" s="8">
        <f>'Table Games'!F55</f>
        <v>16711</v>
      </c>
      <c r="G56" s="8">
        <f>'Table Games'!G55</f>
        <v>-8100</v>
      </c>
      <c r="H56" s="8">
        <f>'Table Games'!H55</f>
        <v>1797</v>
      </c>
      <c r="I56" s="8">
        <f>'Table Games'!I55</f>
        <v>201137.5</v>
      </c>
      <c r="J56" s="8">
        <f>Video!E53</f>
        <v>46723.670000000158</v>
      </c>
      <c r="K56" s="8">
        <f>'Table Games'!J55+Video!F53</f>
        <v>77161.77</v>
      </c>
      <c r="L56" s="8">
        <f>'Table Games'!K55+Video!G53</f>
        <v>17999.91</v>
      </c>
      <c r="M56" s="8">
        <f>Video!H53</f>
        <v>2196.0100000000002</v>
      </c>
      <c r="N56" s="8">
        <f>'Table Games'!L55+Video!I53</f>
        <v>150503.48000000001</v>
      </c>
    </row>
    <row r="57" spans="1:14" ht="15" customHeight="1" x14ac:dyDescent="0.25">
      <c r="A57" s="12">
        <f t="shared" si="0"/>
        <v>45444</v>
      </c>
      <c r="B57" s="8">
        <f>'Table Games'!B56</f>
        <v>133564</v>
      </c>
      <c r="C57" s="8">
        <f>'Table Games'!C56</f>
        <v>64504</v>
      </c>
      <c r="D57" s="8">
        <f>'Table Games'!D56</f>
        <v>0</v>
      </c>
      <c r="E57" s="8">
        <f>'Table Games'!E56</f>
        <v>0</v>
      </c>
      <c r="F57" s="8">
        <f>'Table Games'!F56</f>
        <v>-5872</v>
      </c>
      <c r="G57" s="8">
        <f>'Table Games'!G56</f>
        <v>0</v>
      </c>
      <c r="H57" s="8">
        <f>'Table Games'!H56</f>
        <v>6244</v>
      </c>
      <c r="I57" s="8">
        <f>'Table Games'!I56</f>
        <v>198440</v>
      </c>
      <c r="J57" s="8">
        <f>Video!E54</f>
        <v>18603.849999999977</v>
      </c>
      <c r="K57" s="8">
        <f>'Table Games'!J56+Video!F54</f>
        <v>66229.39</v>
      </c>
      <c r="L57" s="8">
        <f>'Table Games'!K56+Video!G54</f>
        <v>13084.65</v>
      </c>
      <c r="M57" s="8">
        <f>Video!H54</f>
        <v>874.38</v>
      </c>
      <c r="N57" s="8">
        <f>'Table Games'!L56+Video!I54</f>
        <v>136855.43</v>
      </c>
    </row>
    <row r="58" spans="1:14" ht="15" customHeight="1" x14ac:dyDescent="0.25">
      <c r="A58" s="12">
        <f t="shared" si="0"/>
        <v>45451</v>
      </c>
      <c r="B58" s="8">
        <f>'Table Games'!B57</f>
        <v>146830</v>
      </c>
      <c r="C58" s="8">
        <f>'Table Games'!C57</f>
        <v>-5995</v>
      </c>
      <c r="D58" s="8">
        <f>'Table Games'!D57</f>
        <v>0</v>
      </c>
      <c r="E58" s="8">
        <f>'Table Games'!E57</f>
        <v>0</v>
      </c>
      <c r="F58" s="8">
        <f>'Table Games'!F57</f>
        <v>25616</v>
      </c>
      <c r="G58" s="8">
        <f>'Table Games'!G57</f>
        <v>0</v>
      </c>
      <c r="H58" s="8">
        <f>'Table Games'!H57</f>
        <v>8148</v>
      </c>
      <c r="I58" s="8">
        <f>'Table Games'!I57</f>
        <v>174599</v>
      </c>
      <c r="J58" s="8">
        <f>Video!E55</f>
        <v>21627.460000000021</v>
      </c>
      <c r="K58" s="8">
        <f>'Table Games'!J57+Video!F55</f>
        <v>60165.59</v>
      </c>
      <c r="L58" s="8">
        <f>'Table Games'!K57+Video!G55</f>
        <v>12406.62</v>
      </c>
      <c r="M58" s="8">
        <f>Video!H55</f>
        <v>1016.49</v>
      </c>
      <c r="N58" s="8">
        <f>'Table Games'!L57+Video!I55</f>
        <v>122637.76000000001</v>
      </c>
    </row>
    <row r="59" spans="1:14" ht="15" customHeight="1" x14ac:dyDescent="0.25">
      <c r="A59" s="12">
        <f t="shared" si="0"/>
        <v>45458</v>
      </c>
      <c r="B59" s="8">
        <f>'Table Games'!B58</f>
        <v>60973</v>
      </c>
      <c r="C59" s="8">
        <f>'Table Games'!C58</f>
        <v>14482</v>
      </c>
      <c r="D59" s="8">
        <f>'Table Games'!D58</f>
        <v>1093</v>
      </c>
      <c r="E59" s="8">
        <f>'Table Games'!E58</f>
        <v>0</v>
      </c>
      <c r="F59" s="8">
        <f>'Table Games'!F58</f>
        <v>2583</v>
      </c>
      <c r="G59" s="8">
        <f>'Table Games'!G58</f>
        <v>0</v>
      </c>
      <c r="H59" s="8">
        <f>'Table Games'!H58</f>
        <v>4724</v>
      </c>
      <c r="I59" s="8">
        <f>'Table Games'!I58</f>
        <v>83855</v>
      </c>
      <c r="J59" s="8">
        <f>Video!E56</f>
        <v>23696.270000000019</v>
      </c>
      <c r="K59" s="8">
        <f>'Table Games'!J58+Video!F56</f>
        <v>33687.160000000003</v>
      </c>
      <c r="L59" s="8">
        <f>'Table Games'!K58+Video!G56</f>
        <v>8221.119999999999</v>
      </c>
      <c r="M59" s="8">
        <f>Video!H56</f>
        <v>1113.72</v>
      </c>
      <c r="N59" s="8">
        <f>'Table Games'!L58+Video!I56</f>
        <v>64529.270000000004</v>
      </c>
    </row>
    <row r="60" spans="1:14" ht="15" customHeight="1" x14ac:dyDescent="0.25">
      <c r="A60" s="12">
        <f t="shared" si="0"/>
        <v>45465</v>
      </c>
      <c r="B60" s="8">
        <f>'Table Games'!B59</f>
        <v>-86856</v>
      </c>
      <c r="C60" s="8">
        <f>'Table Games'!C59</f>
        <v>19679</v>
      </c>
      <c r="D60" s="8">
        <f>'Table Games'!D59</f>
        <v>0</v>
      </c>
      <c r="E60" s="8">
        <f>'Table Games'!E59</f>
        <v>0</v>
      </c>
      <c r="F60" s="8">
        <f>'Table Games'!F59</f>
        <v>-13758</v>
      </c>
      <c r="G60" s="8">
        <f>'Table Games'!G59</f>
        <v>0</v>
      </c>
      <c r="H60" s="8">
        <f>'Table Games'!H59</f>
        <v>9045</v>
      </c>
      <c r="I60" s="8">
        <f>'Table Games'!I59</f>
        <v>-71890</v>
      </c>
      <c r="J60" s="8">
        <f>Video!E57</f>
        <v>35762.080000000075</v>
      </c>
      <c r="K60" s="8">
        <f>'Table Games'!J59+Video!F57</f>
        <v>-8692.6299999999992</v>
      </c>
      <c r="L60" s="8">
        <f>'Table Games'!K59+Video!G57</f>
        <v>2485.0500000000002</v>
      </c>
      <c r="M60" s="8">
        <f>Video!H57</f>
        <v>1680.81</v>
      </c>
      <c r="N60" s="8">
        <f>'Table Games'!L59+Video!I57</f>
        <v>-31601.15</v>
      </c>
    </row>
    <row r="61" spans="1:14" ht="15" customHeight="1" x14ac:dyDescent="0.25">
      <c r="A61" s="12">
        <f t="shared" si="0"/>
        <v>45472</v>
      </c>
      <c r="B61" s="8">
        <f>'Table Games'!B60</f>
        <v>148521</v>
      </c>
      <c r="C61" s="8">
        <f>'Table Games'!C60</f>
        <v>-15968</v>
      </c>
      <c r="D61" s="8">
        <f>'Table Games'!D60</f>
        <v>0</v>
      </c>
      <c r="E61" s="8">
        <f>'Table Games'!E60</f>
        <v>0</v>
      </c>
      <c r="F61" s="8">
        <f>'Table Games'!F60</f>
        <v>-2476</v>
      </c>
      <c r="G61" s="8">
        <f>'Table Games'!G60</f>
        <v>0</v>
      </c>
      <c r="H61" s="8">
        <f>'Table Games'!H60</f>
        <v>6119</v>
      </c>
      <c r="I61" s="8">
        <f>'Table Games'!I60</f>
        <v>136196</v>
      </c>
      <c r="J61" s="8">
        <f>Video!E58</f>
        <v>111847.6399999999</v>
      </c>
      <c r="K61" s="8">
        <f>'Table Games'!J60+Video!F58</f>
        <v>81123.97</v>
      </c>
      <c r="L61" s="8">
        <f>'Table Games'!K60+Video!G58</f>
        <v>25823.899999999998</v>
      </c>
      <c r="M61" s="8">
        <f>Video!H58</f>
        <v>5256.84</v>
      </c>
      <c r="N61" s="8">
        <f>'Table Games'!L60+Video!I58</f>
        <v>135838.93</v>
      </c>
    </row>
    <row r="62" spans="1:14" ht="15" customHeight="1" x14ac:dyDescent="0.25">
      <c r="A62" s="12" t="s">
        <v>33</v>
      </c>
      <c r="B62" s="8">
        <f>'Table Games'!B61</f>
        <v>5811.5</v>
      </c>
      <c r="C62" s="8">
        <f>'Table Games'!C61</f>
        <v>593</v>
      </c>
      <c r="D62" s="8">
        <f>'Table Games'!D61</f>
        <v>0</v>
      </c>
      <c r="E62" s="8">
        <f>'Table Games'!E61</f>
        <v>0</v>
      </c>
      <c r="F62" s="8">
        <f>'Table Games'!F61</f>
        <v>-21764</v>
      </c>
      <c r="G62" s="8">
        <f>'Table Games'!G61</f>
        <v>0</v>
      </c>
      <c r="H62" s="8">
        <f>'Table Games'!H61</f>
        <v>131</v>
      </c>
      <c r="I62" s="8">
        <f>'Table Games'!I61</f>
        <v>-15228.5</v>
      </c>
      <c r="J62" s="8">
        <f>Video!E59</f>
        <v>9222.4700000000012</v>
      </c>
      <c r="K62" s="8">
        <f>'Table Games'!J61+Video!F59</f>
        <v>-1248.46</v>
      </c>
      <c r="L62" s="8">
        <f>'Table Games'!K61+Video!G59</f>
        <v>806.39</v>
      </c>
      <c r="M62" s="8">
        <f>Video!H59</f>
        <v>433.46</v>
      </c>
      <c r="N62" s="8">
        <f>'Table Games'!L61+Video!I59</f>
        <v>-5997.42</v>
      </c>
    </row>
    <row r="63" spans="1:14" ht="15" customHeight="1" x14ac:dyDescent="0.25">
      <c r="A63" s="12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1:14" ht="15" customHeight="1" thickBot="1" x14ac:dyDescent="0.3">
      <c r="B64" s="9">
        <f>SUM(B9:B63)</f>
        <v>4331221.9969999995</v>
      </c>
      <c r="C64" s="9">
        <f t="shared" ref="C64:N64" si="1">SUM(C9:C63)</f>
        <v>735138</v>
      </c>
      <c r="D64" s="9">
        <f t="shared" si="1"/>
        <v>6904.25</v>
      </c>
      <c r="E64" s="9">
        <f t="shared" si="1"/>
        <v>2095</v>
      </c>
      <c r="F64" s="9">
        <f t="shared" si="1"/>
        <v>535505</v>
      </c>
      <c r="G64" s="9">
        <f t="shared" si="1"/>
        <v>9561</v>
      </c>
      <c r="H64" s="9">
        <f t="shared" si="1"/>
        <v>436137</v>
      </c>
      <c r="I64" s="9">
        <f t="shared" si="1"/>
        <v>6056562.2470000004</v>
      </c>
      <c r="J64" s="9">
        <f t="shared" si="1"/>
        <v>4017014.5500000012</v>
      </c>
      <c r="K64" s="9">
        <f t="shared" si="1"/>
        <v>3263093.84</v>
      </c>
      <c r="L64" s="9">
        <f t="shared" si="1"/>
        <v>985720.74000000034</v>
      </c>
      <c r="M64" s="9">
        <f t="shared" si="1"/>
        <v>188799.68000000002</v>
      </c>
      <c r="N64" s="9">
        <f t="shared" si="1"/>
        <v>5635962.540000001</v>
      </c>
    </row>
    <row r="65" spans="1:1" ht="15" customHeight="1" thickTop="1" x14ac:dyDescent="0.25"/>
    <row r="66" spans="1:1" ht="15" customHeight="1" x14ac:dyDescent="0.25">
      <c r="A66" s="19" t="s">
        <v>29</v>
      </c>
    </row>
    <row r="67" spans="1:1" ht="15" customHeight="1" x14ac:dyDescent="0.25">
      <c r="A67" s="19" t="s">
        <v>34</v>
      </c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52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zoomScaleNormal="100" workbookViewId="0">
      <pane ySplit="5" topLeftCell="A37" activePane="bottomLeft" state="frozen"/>
      <selection pane="bottomLeft" activeCell="A63" sqref="A63"/>
    </sheetView>
  </sheetViews>
  <sheetFormatPr defaultRowHeight="15" customHeight="1" x14ac:dyDescent="0.25"/>
  <cols>
    <col min="1" max="1" width="12.7109375" style="1" customWidth="1"/>
    <col min="2" max="2" width="15" style="1" bestFit="1" customWidth="1"/>
    <col min="3" max="3" width="13.28515625" style="1" bestFit="1" customWidth="1"/>
    <col min="4" max="4" width="14.85546875" style="1" customWidth="1"/>
    <col min="5" max="5" width="13.42578125" style="1" bestFit="1" customWidth="1"/>
    <col min="6" max="6" width="14.7109375" style="1" customWidth="1"/>
    <col min="7" max="7" width="14.28515625" style="1" bestFit="1" customWidth="1"/>
    <col min="8" max="8" width="13.28515625" style="1" bestFit="1" customWidth="1"/>
    <col min="9" max="10" width="15" style="1" bestFit="1" customWidth="1"/>
    <col min="11" max="11" width="14.28515625" style="1" bestFit="1" customWidth="1"/>
    <col min="12" max="12" width="15" style="1" bestFit="1" customWidth="1"/>
    <col min="13" max="13" width="10.7109375" style="1" customWidth="1"/>
    <col min="14" max="16384" width="9.140625" style="1"/>
  </cols>
  <sheetData>
    <row r="1" spans="1:12" s="2" customFormat="1" ht="60" x14ac:dyDescent="0.25">
      <c r="B1" s="3" t="s">
        <v>24</v>
      </c>
      <c r="C1" s="4" t="s">
        <v>9</v>
      </c>
      <c r="D1" s="3" t="s">
        <v>10</v>
      </c>
      <c r="E1" s="3" t="s">
        <v>11</v>
      </c>
      <c r="F1" s="3" t="s">
        <v>12</v>
      </c>
      <c r="G1" s="3" t="s">
        <v>13</v>
      </c>
      <c r="H1" s="3" t="s">
        <v>14</v>
      </c>
      <c r="I1" s="3" t="s">
        <v>15</v>
      </c>
      <c r="J1" s="3" t="s">
        <v>16</v>
      </c>
      <c r="K1" s="3" t="s">
        <v>17</v>
      </c>
      <c r="L1" s="3" t="s">
        <v>18</v>
      </c>
    </row>
    <row r="2" spans="1:12" s="2" customFormat="1" ht="15" customHeight="1" x14ac:dyDescent="0.25">
      <c r="B2" s="5">
        <v>22</v>
      </c>
      <c r="C2" s="11">
        <v>2</v>
      </c>
      <c r="D2" s="5">
        <v>1</v>
      </c>
      <c r="E2" s="5"/>
      <c r="F2" s="5">
        <v>2</v>
      </c>
      <c r="G2" s="5">
        <v>1</v>
      </c>
      <c r="H2" s="5">
        <v>2</v>
      </c>
      <c r="I2" s="5">
        <f>SUM(B2:H2)</f>
        <v>30</v>
      </c>
      <c r="J2" s="6"/>
      <c r="K2" s="6"/>
      <c r="L2" s="6"/>
    </row>
    <row r="3" spans="1:12" s="2" customFormat="1" ht="15" customHeight="1" x14ac:dyDescent="0.25">
      <c r="B3" s="6"/>
      <c r="C3" s="7"/>
      <c r="D3" s="6"/>
      <c r="E3" s="6"/>
      <c r="F3" s="6"/>
      <c r="G3" s="6"/>
      <c r="H3" s="6"/>
      <c r="I3" s="6"/>
      <c r="J3" s="6"/>
      <c r="K3" s="6"/>
      <c r="L3" s="6"/>
    </row>
    <row r="4" spans="1:12" ht="15" customHeight="1" x14ac:dyDescent="0.25">
      <c r="A4" s="1" t="s">
        <v>31</v>
      </c>
      <c r="B4" s="17">
        <v>4145648.9939999999</v>
      </c>
      <c r="C4" s="17">
        <v>655650</v>
      </c>
      <c r="D4" s="17">
        <v>177601</v>
      </c>
      <c r="E4" s="17">
        <v>1380</v>
      </c>
      <c r="F4" s="17">
        <v>1059134</v>
      </c>
      <c r="G4" s="17">
        <v>140432</v>
      </c>
      <c r="H4" s="17">
        <v>385516</v>
      </c>
      <c r="I4" s="17">
        <v>6565361.993999999</v>
      </c>
      <c r="J4" s="17">
        <v>1969608.6100000006</v>
      </c>
      <c r="K4" s="17">
        <v>328268.16999999993</v>
      </c>
      <c r="L4" s="17">
        <v>4267485.2200000007</v>
      </c>
    </row>
    <row r="6" spans="1:12" ht="15" customHeight="1" x14ac:dyDescent="0.25">
      <c r="A6" s="26" t="s">
        <v>28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</row>
    <row r="7" spans="1:12" ht="15" customHeight="1" x14ac:dyDescent="0.25">
      <c r="A7" s="12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5" customHeight="1" x14ac:dyDescent="0.25">
      <c r="A8" s="12" t="s">
        <v>30</v>
      </c>
      <c r="B8" s="8">
        <v>16742.5</v>
      </c>
      <c r="C8" s="8">
        <v>7426</v>
      </c>
      <c r="D8" s="8">
        <v>0</v>
      </c>
      <c r="E8" s="8">
        <v>0</v>
      </c>
      <c r="F8" s="8">
        <v>-1142</v>
      </c>
      <c r="G8" s="8">
        <v>-2300</v>
      </c>
      <c r="H8" s="8">
        <v>1258</v>
      </c>
      <c r="I8" s="8">
        <f t="shared" ref="I8:I13" si="0">SUM(B8:H8)</f>
        <v>21984.5</v>
      </c>
      <c r="J8" s="8">
        <f t="shared" ref="J8:J61" si="1">ROUND($I8*0.3,2)</f>
        <v>6595.35</v>
      </c>
      <c r="K8" s="8">
        <f t="shared" ref="K8:K16" si="2">ROUND($I8*0.05,2)</f>
        <v>1099.23</v>
      </c>
      <c r="L8" s="8">
        <f>ROUND($I8*0.65,2)-0.01</f>
        <v>14289.92</v>
      </c>
    </row>
    <row r="9" spans="1:12" ht="15" customHeight="1" x14ac:dyDescent="0.25">
      <c r="A9" s="12">
        <v>45115</v>
      </c>
      <c r="B9" s="8">
        <v>-7128</v>
      </c>
      <c r="C9" s="8">
        <v>20861</v>
      </c>
      <c r="D9" s="8">
        <v>0</v>
      </c>
      <c r="E9" s="8">
        <v>0</v>
      </c>
      <c r="F9" s="8">
        <v>64948</v>
      </c>
      <c r="G9" s="8"/>
      <c r="H9" s="8">
        <v>15056</v>
      </c>
      <c r="I9" s="8">
        <f t="shared" si="0"/>
        <v>93737</v>
      </c>
      <c r="J9" s="8">
        <f t="shared" si="1"/>
        <v>28121.1</v>
      </c>
      <c r="K9" s="8">
        <f t="shared" si="2"/>
        <v>4686.8500000000004</v>
      </c>
      <c r="L9" s="8">
        <f>ROUND($I9*0.65,2)</f>
        <v>60929.05</v>
      </c>
    </row>
    <row r="10" spans="1:12" ht="15" customHeight="1" x14ac:dyDescent="0.25">
      <c r="A10" s="12">
        <v>45122</v>
      </c>
      <c r="B10" s="8">
        <v>92808.5</v>
      </c>
      <c r="C10" s="8">
        <v>19483</v>
      </c>
      <c r="D10" s="8">
        <v>0</v>
      </c>
      <c r="E10" s="8">
        <v>0</v>
      </c>
      <c r="F10" s="8">
        <v>12258</v>
      </c>
      <c r="G10" s="8">
        <v>0</v>
      </c>
      <c r="H10" s="8">
        <v>13305</v>
      </c>
      <c r="I10" s="8">
        <f t="shared" si="0"/>
        <v>137854.5</v>
      </c>
      <c r="J10" s="8">
        <f t="shared" si="1"/>
        <v>41356.35</v>
      </c>
      <c r="K10" s="8">
        <f t="shared" si="2"/>
        <v>6892.73</v>
      </c>
      <c r="L10" s="8">
        <f>ROUND($I10*0.65,2)-0.01</f>
        <v>89605.42</v>
      </c>
    </row>
    <row r="11" spans="1:12" ht="15" customHeight="1" x14ac:dyDescent="0.25">
      <c r="A11" s="12">
        <f t="shared" ref="A11:A60" si="3">A10+7</f>
        <v>45129</v>
      </c>
      <c r="B11" s="8">
        <v>106424</v>
      </c>
      <c r="C11" s="8">
        <v>17709</v>
      </c>
      <c r="D11" s="8">
        <v>0</v>
      </c>
      <c r="E11" s="8">
        <v>0</v>
      </c>
      <c r="F11" s="8">
        <v>7631</v>
      </c>
      <c r="G11" s="8">
        <v>3983</v>
      </c>
      <c r="H11" s="8">
        <v>14425</v>
      </c>
      <c r="I11" s="8">
        <f t="shared" si="0"/>
        <v>150172</v>
      </c>
      <c r="J11" s="8">
        <f t="shared" si="1"/>
        <v>45051.6</v>
      </c>
      <c r="K11" s="8">
        <f t="shared" si="2"/>
        <v>7508.6</v>
      </c>
      <c r="L11" s="8">
        <f>ROUND($I11*0.65,2)</f>
        <v>97611.8</v>
      </c>
    </row>
    <row r="12" spans="1:12" ht="15" customHeight="1" x14ac:dyDescent="0.25">
      <c r="A12" s="12">
        <f t="shared" si="3"/>
        <v>45136</v>
      </c>
      <c r="B12" s="8">
        <v>97608.5</v>
      </c>
      <c r="C12" s="8">
        <v>29565</v>
      </c>
      <c r="D12" s="8">
        <v>0</v>
      </c>
      <c r="E12" s="8">
        <v>0</v>
      </c>
      <c r="F12" s="8">
        <v>5584</v>
      </c>
      <c r="G12" s="8">
        <v>0</v>
      </c>
      <c r="H12" s="8">
        <v>7965</v>
      </c>
      <c r="I12" s="8">
        <f t="shared" si="0"/>
        <v>140722.5</v>
      </c>
      <c r="J12" s="8">
        <f t="shared" si="1"/>
        <v>42216.75</v>
      </c>
      <c r="K12" s="8">
        <f t="shared" si="2"/>
        <v>7036.13</v>
      </c>
      <c r="L12" s="8">
        <f>ROUND($I12*0.65,2)-0.01</f>
        <v>91469.62000000001</v>
      </c>
    </row>
    <row r="13" spans="1:12" ht="15" customHeight="1" x14ac:dyDescent="0.25">
      <c r="A13" s="12">
        <f t="shared" si="3"/>
        <v>45143</v>
      </c>
      <c r="B13" s="8">
        <v>156085.5</v>
      </c>
      <c r="C13" s="8">
        <v>15965</v>
      </c>
      <c r="D13" s="8">
        <v>3396.25</v>
      </c>
      <c r="E13" s="8">
        <v>0</v>
      </c>
      <c r="F13" s="8">
        <v>24946</v>
      </c>
      <c r="G13" s="8">
        <v>0</v>
      </c>
      <c r="H13" s="8">
        <v>1649</v>
      </c>
      <c r="I13" s="8">
        <f t="shared" si="0"/>
        <v>202041.75</v>
      </c>
      <c r="J13" s="8">
        <f t="shared" si="1"/>
        <v>60612.53</v>
      </c>
      <c r="K13" s="8">
        <f t="shared" si="2"/>
        <v>10102.09</v>
      </c>
      <c r="L13" s="8">
        <f>ROUND($I13*0.65,2)-0.01</f>
        <v>131327.13</v>
      </c>
    </row>
    <row r="14" spans="1:12" ht="15" customHeight="1" x14ac:dyDescent="0.25">
      <c r="A14" s="12">
        <f t="shared" si="3"/>
        <v>45150</v>
      </c>
      <c r="B14" s="8">
        <v>107538</v>
      </c>
      <c r="C14" s="8">
        <v>-6311</v>
      </c>
      <c r="D14" s="8">
        <v>0</v>
      </c>
      <c r="E14" s="8">
        <v>0</v>
      </c>
      <c r="F14" s="8">
        <v>23421</v>
      </c>
      <c r="G14" s="8">
        <v>0</v>
      </c>
      <c r="H14" s="8">
        <v>7987</v>
      </c>
      <c r="I14" s="8">
        <f t="shared" ref="I14" si="4">SUM(B14:H14)</f>
        <v>132635</v>
      </c>
      <c r="J14" s="8">
        <f t="shared" si="1"/>
        <v>39790.5</v>
      </c>
      <c r="K14" s="8">
        <f t="shared" si="2"/>
        <v>6631.75</v>
      </c>
      <c r="L14" s="8">
        <f>ROUND($I14*0.65,2)</f>
        <v>86212.75</v>
      </c>
    </row>
    <row r="15" spans="1:12" ht="15" customHeight="1" x14ac:dyDescent="0.25">
      <c r="A15" s="12">
        <f t="shared" si="3"/>
        <v>45157</v>
      </c>
      <c r="B15" s="8">
        <v>108809.5</v>
      </c>
      <c r="C15" s="8">
        <v>-3404</v>
      </c>
      <c r="D15" s="8">
        <v>665</v>
      </c>
      <c r="E15" s="8">
        <v>0</v>
      </c>
      <c r="F15" s="8">
        <v>16371</v>
      </c>
      <c r="G15" s="8">
        <v>29925</v>
      </c>
      <c r="H15" s="8">
        <v>32904</v>
      </c>
      <c r="I15" s="8">
        <f t="shared" ref="I15" si="5">SUM(B15:H15)</f>
        <v>185270.5</v>
      </c>
      <c r="J15" s="8">
        <f t="shared" si="1"/>
        <v>55581.15</v>
      </c>
      <c r="K15" s="8">
        <f t="shared" si="2"/>
        <v>9263.5300000000007</v>
      </c>
      <c r="L15" s="8">
        <f>ROUND($I15*0.65,2)-0.01</f>
        <v>120425.82</v>
      </c>
    </row>
    <row r="16" spans="1:12" ht="15" customHeight="1" x14ac:dyDescent="0.25">
      <c r="A16" s="12">
        <f t="shared" si="3"/>
        <v>45164</v>
      </c>
      <c r="B16" s="8">
        <v>198849.5</v>
      </c>
      <c r="C16" s="8">
        <v>6029</v>
      </c>
      <c r="D16" s="8">
        <v>0</v>
      </c>
      <c r="E16" s="8">
        <v>0</v>
      </c>
      <c r="F16" s="8">
        <v>41157</v>
      </c>
      <c r="G16" s="8">
        <v>2669</v>
      </c>
      <c r="H16" s="8">
        <v>-6957</v>
      </c>
      <c r="I16" s="8">
        <f t="shared" ref="I16" si="6">SUM(B16:H16)</f>
        <v>241747.5</v>
      </c>
      <c r="J16" s="8">
        <f t="shared" si="1"/>
        <v>72524.25</v>
      </c>
      <c r="K16" s="8">
        <f t="shared" si="2"/>
        <v>12087.38</v>
      </c>
      <c r="L16" s="8">
        <f>ROUND($I16*0.65,2)-0.01</f>
        <v>157135.87</v>
      </c>
    </row>
    <row r="17" spans="1:12" ht="15" customHeight="1" x14ac:dyDescent="0.25">
      <c r="A17" s="12">
        <f t="shared" si="3"/>
        <v>45171</v>
      </c>
      <c r="B17" s="8">
        <v>268783</v>
      </c>
      <c r="C17" s="8">
        <v>720</v>
      </c>
      <c r="D17" s="8">
        <v>0</v>
      </c>
      <c r="E17" s="8">
        <v>0</v>
      </c>
      <c r="F17" s="8">
        <v>-6600</v>
      </c>
      <c r="G17" s="8">
        <v>-7465</v>
      </c>
      <c r="H17" s="8">
        <v>17148</v>
      </c>
      <c r="I17" s="8">
        <f t="shared" ref="I17" si="7">SUM(B17:H17)</f>
        <v>272586</v>
      </c>
      <c r="J17" s="8">
        <f t="shared" si="1"/>
        <v>81775.8</v>
      </c>
      <c r="K17" s="8">
        <f t="shared" ref="K17:K25" si="8">ROUND($I17*0.05,2)</f>
        <v>13629.3</v>
      </c>
      <c r="L17" s="8">
        <f>ROUND($I17*0.65,2)</f>
        <v>177180.9</v>
      </c>
    </row>
    <row r="18" spans="1:12" ht="15" customHeight="1" x14ac:dyDescent="0.25">
      <c r="A18" s="12">
        <f t="shared" si="3"/>
        <v>45178</v>
      </c>
      <c r="B18" s="8">
        <v>158258</v>
      </c>
      <c r="C18" s="8">
        <v>17553</v>
      </c>
      <c r="D18" s="8">
        <v>0</v>
      </c>
      <c r="E18" s="8">
        <v>0</v>
      </c>
      <c r="F18" s="8">
        <v>7403</v>
      </c>
      <c r="G18" s="8">
        <v>-90</v>
      </c>
      <c r="H18" s="8">
        <v>8606</v>
      </c>
      <c r="I18" s="8">
        <f t="shared" ref="I18" si="9">SUM(B18:H18)</f>
        <v>191730</v>
      </c>
      <c r="J18" s="8">
        <f t="shared" si="1"/>
        <v>57519</v>
      </c>
      <c r="K18" s="8">
        <f t="shared" si="8"/>
        <v>9586.5</v>
      </c>
      <c r="L18" s="8">
        <f>ROUND($I18*0.65,2)</f>
        <v>124624.5</v>
      </c>
    </row>
    <row r="19" spans="1:12" ht="15" customHeight="1" x14ac:dyDescent="0.25">
      <c r="A19" s="12">
        <f t="shared" si="3"/>
        <v>45185</v>
      </c>
      <c r="B19" s="8">
        <v>50603</v>
      </c>
      <c r="C19" s="8">
        <v>-3583</v>
      </c>
      <c r="D19" s="8">
        <v>0</v>
      </c>
      <c r="E19" s="8">
        <v>0</v>
      </c>
      <c r="F19" s="8">
        <v>8777</v>
      </c>
      <c r="G19" s="8">
        <v>0</v>
      </c>
      <c r="H19" s="8">
        <v>8574</v>
      </c>
      <c r="I19" s="8">
        <f t="shared" ref="I19" si="10">SUM(B19:H19)</f>
        <v>64371</v>
      </c>
      <c r="J19" s="8">
        <f t="shared" si="1"/>
        <v>19311.3</v>
      </c>
      <c r="K19" s="8">
        <f t="shared" si="8"/>
        <v>3218.55</v>
      </c>
      <c r="L19" s="8">
        <f>ROUND($I19*0.65,2)</f>
        <v>41841.15</v>
      </c>
    </row>
    <row r="20" spans="1:12" ht="15" customHeight="1" x14ac:dyDescent="0.25">
      <c r="A20" s="12">
        <f t="shared" si="3"/>
        <v>45192</v>
      </c>
      <c r="B20" s="8">
        <v>164361</v>
      </c>
      <c r="C20" s="8">
        <v>57118</v>
      </c>
      <c r="D20" s="8">
        <v>0</v>
      </c>
      <c r="E20" s="8">
        <v>0</v>
      </c>
      <c r="F20" s="8">
        <v>16815</v>
      </c>
      <c r="G20" s="8">
        <v>0</v>
      </c>
      <c r="H20" s="8">
        <v>21249</v>
      </c>
      <c r="I20" s="8">
        <f t="shared" ref="I20" si="11">SUM(B20:H20)</f>
        <v>259543</v>
      </c>
      <c r="J20" s="8">
        <f t="shared" si="1"/>
        <v>77862.899999999994</v>
      </c>
      <c r="K20" s="8">
        <f t="shared" si="8"/>
        <v>12977.15</v>
      </c>
      <c r="L20" s="8">
        <f>ROUND($I20*0.65,2)</f>
        <v>168702.95</v>
      </c>
    </row>
    <row r="21" spans="1:12" ht="15" customHeight="1" x14ac:dyDescent="0.25">
      <c r="A21" s="12">
        <f t="shared" si="3"/>
        <v>45199</v>
      </c>
      <c r="B21" s="8">
        <v>51529.5</v>
      </c>
      <c r="C21" s="8">
        <v>-28732</v>
      </c>
      <c r="D21" s="8">
        <v>0</v>
      </c>
      <c r="E21" s="8">
        <v>0</v>
      </c>
      <c r="F21" s="8">
        <v>5677</v>
      </c>
      <c r="G21" s="8">
        <v>0</v>
      </c>
      <c r="H21" s="8">
        <v>7240</v>
      </c>
      <c r="I21" s="8">
        <f t="shared" ref="I21" si="12">SUM(B21:H21)</f>
        <v>35714.5</v>
      </c>
      <c r="J21" s="8">
        <f t="shared" si="1"/>
        <v>10714.35</v>
      </c>
      <c r="K21" s="8">
        <f t="shared" si="8"/>
        <v>1785.73</v>
      </c>
      <c r="L21" s="8">
        <f>ROUND($I21*0.65,2)-0.01</f>
        <v>23214.420000000002</v>
      </c>
    </row>
    <row r="22" spans="1:12" ht="15" customHeight="1" x14ac:dyDescent="0.25">
      <c r="A22" s="12">
        <f t="shared" si="3"/>
        <v>45206</v>
      </c>
      <c r="B22" s="8">
        <v>78945.5</v>
      </c>
      <c r="C22" s="8">
        <v>8269</v>
      </c>
      <c r="D22" s="8">
        <v>0</v>
      </c>
      <c r="E22" s="8">
        <v>0</v>
      </c>
      <c r="F22" s="8">
        <v>-3744</v>
      </c>
      <c r="G22" s="8">
        <v>-4780</v>
      </c>
      <c r="H22" s="8">
        <v>13238</v>
      </c>
      <c r="I22" s="8">
        <f t="shared" ref="I22" si="13">SUM(B22:H22)</f>
        <v>91928.5</v>
      </c>
      <c r="J22" s="8">
        <f t="shared" si="1"/>
        <v>27578.55</v>
      </c>
      <c r="K22" s="8">
        <f t="shared" si="8"/>
        <v>4596.43</v>
      </c>
      <c r="L22" s="8">
        <f>ROUND($I22*0.65,2)-0.01</f>
        <v>59753.52</v>
      </c>
    </row>
    <row r="23" spans="1:12" ht="15" customHeight="1" x14ac:dyDescent="0.25">
      <c r="A23" s="12">
        <f t="shared" si="3"/>
        <v>45213</v>
      </c>
      <c r="B23" s="8">
        <v>142591.5</v>
      </c>
      <c r="C23" s="8">
        <v>-10555</v>
      </c>
      <c r="D23" s="8">
        <v>0</v>
      </c>
      <c r="E23" s="8">
        <v>0</v>
      </c>
      <c r="F23" s="8">
        <v>2791</v>
      </c>
      <c r="G23" s="8">
        <v>0</v>
      </c>
      <c r="H23" s="8">
        <v>-1320</v>
      </c>
      <c r="I23" s="8">
        <f t="shared" ref="I23" si="14">SUM(B23:H23)</f>
        <v>133507.5</v>
      </c>
      <c r="J23" s="8">
        <f t="shared" si="1"/>
        <v>40052.25</v>
      </c>
      <c r="K23" s="8">
        <f t="shared" si="8"/>
        <v>6675.38</v>
      </c>
      <c r="L23" s="8">
        <f>ROUND($I23*0.65,2)-0.01</f>
        <v>86779.87000000001</v>
      </c>
    </row>
    <row r="24" spans="1:12" ht="15" customHeight="1" x14ac:dyDescent="0.25">
      <c r="A24" s="12">
        <f t="shared" si="3"/>
        <v>45220</v>
      </c>
      <c r="B24" s="8">
        <v>12849.5</v>
      </c>
      <c r="C24" s="8">
        <v>12091</v>
      </c>
      <c r="D24" s="8">
        <v>0</v>
      </c>
      <c r="E24" s="8">
        <v>0</v>
      </c>
      <c r="F24" s="8">
        <v>17417</v>
      </c>
      <c r="G24" s="8">
        <v>0</v>
      </c>
      <c r="H24" s="8">
        <v>9466</v>
      </c>
      <c r="I24" s="8">
        <f t="shared" ref="I24" si="15">SUM(B24:H24)</f>
        <v>51823.5</v>
      </c>
      <c r="J24" s="8">
        <f t="shared" si="1"/>
        <v>15547.05</v>
      </c>
      <c r="K24" s="8">
        <f t="shared" si="8"/>
        <v>2591.1799999999998</v>
      </c>
      <c r="L24" s="8">
        <f>ROUND($I24*0.65,2)-0.01</f>
        <v>33685.269999999997</v>
      </c>
    </row>
    <row r="25" spans="1:12" ht="15" customHeight="1" x14ac:dyDescent="0.25">
      <c r="A25" s="12">
        <f t="shared" si="3"/>
        <v>45227</v>
      </c>
      <c r="B25" s="8">
        <v>55263</v>
      </c>
      <c r="C25" s="8">
        <v>19972</v>
      </c>
      <c r="D25" s="8">
        <v>0</v>
      </c>
      <c r="E25" s="8">
        <v>90</v>
      </c>
      <c r="F25" s="8">
        <v>12882</v>
      </c>
      <c r="G25" s="8">
        <v>0</v>
      </c>
      <c r="H25" s="8">
        <v>13224</v>
      </c>
      <c r="I25" s="8">
        <f t="shared" ref="I25" si="16">SUM(B25:H25)</f>
        <v>101431</v>
      </c>
      <c r="J25" s="8">
        <f t="shared" si="1"/>
        <v>30429.3</v>
      </c>
      <c r="K25" s="8">
        <f t="shared" si="8"/>
        <v>5071.55</v>
      </c>
      <c r="L25" s="8">
        <f>ROUND($I25*0.65,2)</f>
        <v>65930.149999999994</v>
      </c>
    </row>
    <row r="26" spans="1:12" ht="15" customHeight="1" x14ac:dyDescent="0.25">
      <c r="A26" s="12">
        <f t="shared" si="3"/>
        <v>45234</v>
      </c>
      <c r="B26" s="8">
        <v>73759.5</v>
      </c>
      <c r="C26" s="8">
        <v>16829</v>
      </c>
      <c r="D26" s="8">
        <v>0</v>
      </c>
      <c r="E26" s="8">
        <v>95</v>
      </c>
      <c r="F26" s="8">
        <v>11292</v>
      </c>
      <c r="G26" s="8">
        <v>0</v>
      </c>
      <c r="H26" s="8">
        <v>11093</v>
      </c>
      <c r="I26" s="8">
        <f t="shared" ref="I26" si="17">SUM(B26:H26)</f>
        <v>113068.5</v>
      </c>
      <c r="J26" s="8">
        <f t="shared" si="1"/>
        <v>33920.550000000003</v>
      </c>
      <c r="K26" s="8">
        <f t="shared" ref="K26:K34" si="18">ROUND($I26*0.05,2)</f>
        <v>5653.43</v>
      </c>
      <c r="L26" s="8">
        <f>ROUND($I26*0.65,2)-0.01</f>
        <v>73494.52</v>
      </c>
    </row>
    <row r="27" spans="1:12" ht="15" customHeight="1" x14ac:dyDescent="0.25">
      <c r="A27" s="12">
        <f t="shared" si="3"/>
        <v>45241</v>
      </c>
      <c r="B27" s="8">
        <v>82180.5</v>
      </c>
      <c r="C27" s="8">
        <v>-5863</v>
      </c>
      <c r="D27" s="8">
        <v>0</v>
      </c>
      <c r="E27" s="8">
        <v>85</v>
      </c>
      <c r="F27" s="8">
        <v>4514</v>
      </c>
      <c r="G27" s="8">
        <v>0</v>
      </c>
      <c r="H27" s="8">
        <v>542</v>
      </c>
      <c r="I27" s="8">
        <f t="shared" ref="I27" si="19">SUM(B27:H27)</f>
        <v>81458.5</v>
      </c>
      <c r="J27" s="8">
        <f t="shared" si="1"/>
        <v>24437.55</v>
      </c>
      <c r="K27" s="8">
        <f t="shared" si="18"/>
        <v>4072.93</v>
      </c>
      <c r="L27" s="8">
        <f>ROUND($I27*0.65,2)-0.01</f>
        <v>52948.02</v>
      </c>
    </row>
    <row r="28" spans="1:12" ht="15" customHeight="1" x14ac:dyDescent="0.25">
      <c r="A28" s="12">
        <f t="shared" si="3"/>
        <v>45248</v>
      </c>
      <c r="B28" s="8">
        <v>155998</v>
      </c>
      <c r="C28" s="8">
        <v>-3722</v>
      </c>
      <c r="D28" s="8">
        <v>0</v>
      </c>
      <c r="E28" s="8">
        <v>80</v>
      </c>
      <c r="F28" s="8">
        <v>31708</v>
      </c>
      <c r="G28" s="8">
        <v>0</v>
      </c>
      <c r="H28" s="8">
        <v>12246</v>
      </c>
      <c r="I28" s="8">
        <f t="shared" ref="I28" si="20">SUM(B28:H28)</f>
        <v>196310</v>
      </c>
      <c r="J28" s="8">
        <f t="shared" si="1"/>
        <v>58893</v>
      </c>
      <c r="K28" s="8">
        <f t="shared" si="18"/>
        <v>9815.5</v>
      </c>
      <c r="L28" s="8">
        <f>ROUND($I28*0.65,2)</f>
        <v>127601.5</v>
      </c>
    </row>
    <row r="29" spans="1:12" ht="15" customHeight="1" x14ac:dyDescent="0.25">
      <c r="A29" s="12">
        <f t="shared" si="3"/>
        <v>45255</v>
      </c>
      <c r="B29" s="8">
        <v>233431</v>
      </c>
      <c r="C29" s="8">
        <v>4183</v>
      </c>
      <c r="D29" s="8">
        <v>0</v>
      </c>
      <c r="E29" s="8">
        <v>75</v>
      </c>
      <c r="F29" s="8">
        <v>12367</v>
      </c>
      <c r="G29" s="8">
        <v>0</v>
      </c>
      <c r="H29" s="8">
        <v>14925</v>
      </c>
      <c r="I29" s="8">
        <f t="shared" ref="I29" si="21">SUM(B29:H29)</f>
        <v>264981</v>
      </c>
      <c r="J29" s="8">
        <f t="shared" si="1"/>
        <v>79494.3</v>
      </c>
      <c r="K29" s="8">
        <f t="shared" si="18"/>
        <v>13249.05</v>
      </c>
      <c r="L29" s="8">
        <f>ROUND($I29*0.65,2)</f>
        <v>172237.65</v>
      </c>
    </row>
    <row r="30" spans="1:12" s="23" customFormat="1" ht="15" customHeight="1" x14ac:dyDescent="0.25">
      <c r="A30" s="20">
        <f t="shared" si="3"/>
        <v>45262</v>
      </c>
      <c r="B30" s="21">
        <v>32192.5</v>
      </c>
      <c r="C30" s="21">
        <v>39563</v>
      </c>
      <c r="D30" s="21">
        <v>0</v>
      </c>
      <c r="E30" s="21">
        <v>90</v>
      </c>
      <c r="F30" s="21">
        <v>10450</v>
      </c>
      <c r="G30" s="21">
        <v>4394</v>
      </c>
      <c r="H30" s="21">
        <v>9386</v>
      </c>
      <c r="I30" s="22">
        <f t="shared" ref="I30" si="22">SUM(B30:H30)</f>
        <v>96075.5</v>
      </c>
      <c r="J30" s="22">
        <f t="shared" si="1"/>
        <v>28822.65</v>
      </c>
      <c r="K30" s="22">
        <f t="shared" si="18"/>
        <v>4803.78</v>
      </c>
      <c r="L30" s="22">
        <f>ROUND($I30*0.65,2)-0.01</f>
        <v>62449.07</v>
      </c>
    </row>
    <row r="31" spans="1:12" s="23" customFormat="1" ht="15" customHeight="1" x14ac:dyDescent="0.25">
      <c r="A31" s="20">
        <f t="shared" si="3"/>
        <v>45269</v>
      </c>
      <c r="B31" s="21">
        <v>106616.5</v>
      </c>
      <c r="C31" s="21">
        <v>32524</v>
      </c>
      <c r="D31" s="21">
        <v>0</v>
      </c>
      <c r="E31" s="21">
        <v>65</v>
      </c>
      <c r="F31" s="21">
        <v>-7586</v>
      </c>
      <c r="G31" s="21">
        <v>0</v>
      </c>
      <c r="H31" s="21">
        <v>8656</v>
      </c>
      <c r="I31" s="22">
        <f t="shared" ref="I31" si="23">SUM(B31:H31)</f>
        <v>140275.5</v>
      </c>
      <c r="J31" s="22">
        <f t="shared" si="1"/>
        <v>42082.65</v>
      </c>
      <c r="K31" s="22">
        <f t="shared" si="18"/>
        <v>7013.78</v>
      </c>
      <c r="L31" s="22">
        <f>ROUND($I31*0.65,2)-0.01</f>
        <v>91179.07</v>
      </c>
    </row>
    <row r="32" spans="1:12" s="23" customFormat="1" ht="15" customHeight="1" x14ac:dyDescent="0.25">
      <c r="A32" s="20">
        <f t="shared" si="3"/>
        <v>45276</v>
      </c>
      <c r="B32" s="21">
        <v>25252</v>
      </c>
      <c r="C32" s="21">
        <v>15241</v>
      </c>
      <c r="D32" s="21">
        <v>0</v>
      </c>
      <c r="E32" s="21">
        <v>95</v>
      </c>
      <c r="F32" s="21">
        <v>4678</v>
      </c>
      <c r="G32" s="21">
        <v>0</v>
      </c>
      <c r="H32" s="21">
        <v>17641</v>
      </c>
      <c r="I32" s="22">
        <f t="shared" ref="I32" si="24">SUM(B32:H32)</f>
        <v>62907</v>
      </c>
      <c r="J32" s="22">
        <f t="shared" si="1"/>
        <v>18872.099999999999</v>
      </c>
      <c r="K32" s="22">
        <f t="shared" si="18"/>
        <v>3145.35</v>
      </c>
      <c r="L32" s="22">
        <f>ROUND($I32*0.65,2)</f>
        <v>40889.550000000003</v>
      </c>
    </row>
    <row r="33" spans="1:12" s="23" customFormat="1" ht="15" customHeight="1" x14ac:dyDescent="0.25">
      <c r="A33" s="20">
        <f t="shared" si="3"/>
        <v>45283</v>
      </c>
      <c r="B33" s="21">
        <v>122237.5</v>
      </c>
      <c r="C33" s="21">
        <v>12296</v>
      </c>
      <c r="D33" s="21">
        <v>0</v>
      </c>
      <c r="E33" s="21">
        <v>0</v>
      </c>
      <c r="F33" s="21">
        <v>68878</v>
      </c>
      <c r="G33" s="21">
        <v>0</v>
      </c>
      <c r="H33" s="21">
        <v>-442</v>
      </c>
      <c r="I33" s="22">
        <f t="shared" ref="I33" si="25">SUM(B33:H33)</f>
        <v>202969.5</v>
      </c>
      <c r="J33" s="22">
        <f t="shared" si="1"/>
        <v>60890.85</v>
      </c>
      <c r="K33" s="22">
        <f t="shared" si="18"/>
        <v>10148.48</v>
      </c>
      <c r="L33" s="22">
        <f>ROUND($I33*0.65,2)-0.01</f>
        <v>131930.16999999998</v>
      </c>
    </row>
    <row r="34" spans="1:12" s="23" customFormat="1" ht="15" customHeight="1" x14ac:dyDescent="0.25">
      <c r="A34" s="20">
        <f t="shared" si="3"/>
        <v>45290</v>
      </c>
      <c r="B34" s="21">
        <v>49810</v>
      </c>
      <c r="C34" s="21">
        <v>-11672</v>
      </c>
      <c r="D34" s="21">
        <v>0</v>
      </c>
      <c r="E34" s="21">
        <v>0</v>
      </c>
      <c r="F34" s="21">
        <v>13015</v>
      </c>
      <c r="G34" s="21">
        <v>0</v>
      </c>
      <c r="H34" s="21">
        <v>20544</v>
      </c>
      <c r="I34" s="22">
        <f t="shared" ref="I34" si="26">SUM(B34:H34)</f>
        <v>71697</v>
      </c>
      <c r="J34" s="22">
        <f t="shared" si="1"/>
        <v>21509.1</v>
      </c>
      <c r="K34" s="22">
        <f t="shared" si="18"/>
        <v>3584.85</v>
      </c>
      <c r="L34" s="22">
        <f>ROUND($I34*0.65,2)</f>
        <v>46603.05</v>
      </c>
    </row>
    <row r="35" spans="1:12" s="23" customFormat="1" ht="15" customHeight="1" x14ac:dyDescent="0.25">
      <c r="A35" s="20">
        <f t="shared" si="3"/>
        <v>45297</v>
      </c>
      <c r="B35" s="21">
        <v>17888.5</v>
      </c>
      <c r="C35" s="21">
        <v>44852</v>
      </c>
      <c r="D35" s="21">
        <v>0</v>
      </c>
      <c r="E35" s="21">
        <v>0</v>
      </c>
      <c r="F35" s="21">
        <v>5351</v>
      </c>
      <c r="G35" s="21">
        <v>0</v>
      </c>
      <c r="H35" s="21">
        <v>7972</v>
      </c>
      <c r="I35" s="22">
        <f t="shared" ref="I35" si="27">SUM(B35:H35)</f>
        <v>76063.5</v>
      </c>
      <c r="J35" s="22">
        <f t="shared" si="1"/>
        <v>22819.05</v>
      </c>
      <c r="K35" s="22">
        <f t="shared" ref="K35:K61" si="28">ROUND($I35*0.05,2)</f>
        <v>3803.18</v>
      </c>
      <c r="L35" s="22">
        <f>ROUND($I35*0.65,2)-0.01</f>
        <v>49441.27</v>
      </c>
    </row>
    <row r="36" spans="1:12" s="23" customFormat="1" ht="15" customHeight="1" x14ac:dyDescent="0.25">
      <c r="A36" s="20">
        <f t="shared" si="3"/>
        <v>45304</v>
      </c>
      <c r="B36" s="21">
        <v>4549.5</v>
      </c>
      <c r="C36" s="21">
        <v>7469</v>
      </c>
      <c r="D36" s="21">
        <v>0</v>
      </c>
      <c r="E36" s="21">
        <v>0</v>
      </c>
      <c r="F36" s="21">
        <v>-9291</v>
      </c>
      <c r="G36" s="21">
        <v>0</v>
      </c>
      <c r="H36" s="21">
        <v>2174</v>
      </c>
      <c r="I36" s="22">
        <f t="shared" ref="I36" si="29">SUM(B36:H36)</f>
        <v>4901.5</v>
      </c>
      <c r="J36" s="22">
        <f t="shared" si="1"/>
        <v>1470.45</v>
      </c>
      <c r="K36" s="22">
        <f t="shared" si="28"/>
        <v>245.08</v>
      </c>
      <c r="L36" s="22">
        <f>ROUND($I36*0.65,2)-0.01</f>
        <v>3185.97</v>
      </c>
    </row>
    <row r="37" spans="1:12" s="23" customFormat="1" ht="15" customHeight="1" x14ac:dyDescent="0.25">
      <c r="A37" s="20">
        <f t="shared" si="3"/>
        <v>45311</v>
      </c>
      <c r="B37" s="21">
        <v>102619</v>
      </c>
      <c r="C37" s="21">
        <v>20243</v>
      </c>
      <c r="D37" s="21">
        <v>0</v>
      </c>
      <c r="E37" s="21">
        <v>0</v>
      </c>
      <c r="F37" s="21">
        <v>4253</v>
      </c>
      <c r="G37" s="21">
        <v>-8675</v>
      </c>
      <c r="H37" s="21">
        <v>7982</v>
      </c>
      <c r="I37" s="22">
        <f t="shared" ref="I37" si="30">SUM(B37:H37)</f>
        <v>126422</v>
      </c>
      <c r="J37" s="22">
        <f t="shared" si="1"/>
        <v>37926.6</v>
      </c>
      <c r="K37" s="22">
        <f t="shared" si="28"/>
        <v>6321.1</v>
      </c>
      <c r="L37" s="22">
        <f>ROUND($I37*0.65,2)</f>
        <v>82174.3</v>
      </c>
    </row>
    <row r="38" spans="1:12" s="23" customFormat="1" ht="15" customHeight="1" x14ac:dyDescent="0.25">
      <c r="A38" s="20">
        <f t="shared" si="3"/>
        <v>45318</v>
      </c>
      <c r="B38" s="21">
        <v>138859.5</v>
      </c>
      <c r="C38" s="21">
        <v>24812</v>
      </c>
      <c r="D38" s="21">
        <v>0</v>
      </c>
      <c r="E38" s="21">
        <v>0</v>
      </c>
      <c r="F38" s="21">
        <v>842</v>
      </c>
      <c r="G38" s="21">
        <v>0</v>
      </c>
      <c r="H38" s="21">
        <v>4643</v>
      </c>
      <c r="I38" s="22">
        <f t="shared" ref="I38" si="31">SUM(B38:H38)</f>
        <v>169156.5</v>
      </c>
      <c r="J38" s="22">
        <f t="shared" si="1"/>
        <v>50746.95</v>
      </c>
      <c r="K38" s="22">
        <f t="shared" si="28"/>
        <v>8457.83</v>
      </c>
      <c r="L38" s="22">
        <f>ROUND($I38*0.65,2)-0.01</f>
        <v>109951.72</v>
      </c>
    </row>
    <row r="39" spans="1:12" s="23" customFormat="1" ht="15" customHeight="1" x14ac:dyDescent="0.25">
      <c r="A39" s="20">
        <f t="shared" si="3"/>
        <v>45325</v>
      </c>
      <c r="B39" s="21">
        <v>-10462</v>
      </c>
      <c r="C39" s="21">
        <v>11655</v>
      </c>
      <c r="D39" s="21">
        <v>0</v>
      </c>
      <c r="E39" s="21">
        <v>0</v>
      </c>
      <c r="F39" s="21">
        <v>11402</v>
      </c>
      <c r="G39" s="21">
        <v>0</v>
      </c>
      <c r="H39" s="21">
        <v>5537</v>
      </c>
      <c r="I39" s="22">
        <f t="shared" ref="I39" si="32">SUM(B39:H39)</f>
        <v>18132</v>
      </c>
      <c r="J39" s="22">
        <f t="shared" si="1"/>
        <v>5439.6</v>
      </c>
      <c r="K39" s="22">
        <f t="shared" si="28"/>
        <v>906.6</v>
      </c>
      <c r="L39" s="22">
        <f>ROUND($I39*0.65,2)</f>
        <v>11785.8</v>
      </c>
    </row>
    <row r="40" spans="1:12" s="23" customFormat="1" ht="15" customHeight="1" x14ac:dyDescent="0.25">
      <c r="A40" s="20">
        <f t="shared" si="3"/>
        <v>45332</v>
      </c>
      <c r="B40" s="21">
        <v>156136</v>
      </c>
      <c r="C40" s="21">
        <v>524</v>
      </c>
      <c r="D40" s="21">
        <v>0</v>
      </c>
      <c r="E40" s="21">
        <v>0</v>
      </c>
      <c r="F40" s="21">
        <v>7445</v>
      </c>
      <c r="G40" s="21">
        <v>0</v>
      </c>
      <c r="H40" s="21">
        <v>6429</v>
      </c>
      <c r="I40" s="22">
        <f t="shared" ref="I40" si="33">SUM(B40:H40)</f>
        <v>170534</v>
      </c>
      <c r="J40" s="22">
        <f t="shared" si="1"/>
        <v>51160.2</v>
      </c>
      <c r="K40" s="22">
        <f t="shared" si="28"/>
        <v>8526.7000000000007</v>
      </c>
      <c r="L40" s="22">
        <f>ROUND($I40*0.65,2)</f>
        <v>110847.1</v>
      </c>
    </row>
    <row r="41" spans="1:12" s="23" customFormat="1" ht="15" customHeight="1" x14ac:dyDescent="0.25">
      <c r="A41" s="20">
        <f t="shared" si="3"/>
        <v>45339</v>
      </c>
      <c r="B41" s="21">
        <v>29691.5</v>
      </c>
      <c r="C41" s="21">
        <v>23218</v>
      </c>
      <c r="D41" s="21">
        <v>0</v>
      </c>
      <c r="E41" s="21">
        <v>0</v>
      </c>
      <c r="F41" s="21">
        <v>30310</v>
      </c>
      <c r="G41" s="21">
        <v>0</v>
      </c>
      <c r="H41" s="21">
        <v>7355</v>
      </c>
      <c r="I41" s="22">
        <f t="shared" ref="I41" si="34">SUM(B41:H41)</f>
        <v>90574.5</v>
      </c>
      <c r="J41" s="22">
        <f t="shared" si="1"/>
        <v>27172.35</v>
      </c>
      <c r="K41" s="22">
        <f t="shared" si="28"/>
        <v>4528.7299999999996</v>
      </c>
      <c r="L41" s="22">
        <f>ROUND($I41*0.65,2)-0.01</f>
        <v>58873.42</v>
      </c>
    </row>
    <row r="42" spans="1:12" s="23" customFormat="1" ht="15" customHeight="1" x14ac:dyDescent="0.25">
      <c r="A42" s="20">
        <f t="shared" si="3"/>
        <v>45346</v>
      </c>
      <c r="B42" s="21">
        <v>35237</v>
      </c>
      <c r="C42" s="21">
        <v>4991</v>
      </c>
      <c r="D42" s="21">
        <v>0</v>
      </c>
      <c r="E42" s="21">
        <v>210</v>
      </c>
      <c r="F42" s="21">
        <v>-10634</v>
      </c>
      <c r="G42" s="21">
        <v>0</v>
      </c>
      <c r="H42" s="21">
        <v>10585</v>
      </c>
      <c r="I42" s="22">
        <f t="shared" ref="I42" si="35">SUM(B42:H42)</f>
        <v>40389</v>
      </c>
      <c r="J42" s="22">
        <f t="shared" si="1"/>
        <v>12116.7</v>
      </c>
      <c r="K42" s="22">
        <f t="shared" si="28"/>
        <v>2019.45</v>
      </c>
      <c r="L42" s="22">
        <f>ROUND($I42*0.65,2)</f>
        <v>26252.85</v>
      </c>
    </row>
    <row r="43" spans="1:12" s="23" customFormat="1" ht="15" customHeight="1" x14ac:dyDescent="0.25">
      <c r="A43" s="20">
        <f t="shared" si="3"/>
        <v>45353</v>
      </c>
      <c r="B43" s="21">
        <v>-19002.5</v>
      </c>
      <c r="C43" s="21">
        <v>20773</v>
      </c>
      <c r="D43" s="21">
        <v>0</v>
      </c>
      <c r="E43" s="21">
        <v>160</v>
      </c>
      <c r="F43" s="21">
        <v>8493</v>
      </c>
      <c r="G43" s="21">
        <v>0</v>
      </c>
      <c r="H43" s="21">
        <v>5710</v>
      </c>
      <c r="I43" s="22">
        <f t="shared" ref="I43" si="36">SUM(B43:H43)</f>
        <v>16133.5</v>
      </c>
      <c r="J43" s="22">
        <f t="shared" si="1"/>
        <v>4840.05</v>
      </c>
      <c r="K43" s="22">
        <f t="shared" si="28"/>
        <v>806.68</v>
      </c>
      <c r="L43" s="22">
        <f>ROUND($I43*0.65,2)-0.01</f>
        <v>10486.77</v>
      </c>
    </row>
    <row r="44" spans="1:12" s="23" customFormat="1" ht="15" customHeight="1" x14ac:dyDescent="0.25">
      <c r="A44" s="20">
        <f t="shared" si="3"/>
        <v>45360</v>
      </c>
      <c r="B44" s="21">
        <v>66467</v>
      </c>
      <c r="C44" s="21">
        <v>13611</v>
      </c>
      <c r="D44" s="21">
        <v>0</v>
      </c>
      <c r="E44" s="21">
        <v>170</v>
      </c>
      <c r="F44" s="21">
        <v>10517</v>
      </c>
      <c r="G44" s="21">
        <v>0</v>
      </c>
      <c r="H44" s="21">
        <v>5789</v>
      </c>
      <c r="I44" s="22">
        <f t="shared" ref="I44" si="37">SUM(B44:H44)</f>
        <v>96554</v>
      </c>
      <c r="J44" s="22">
        <f t="shared" si="1"/>
        <v>28966.2</v>
      </c>
      <c r="K44" s="22">
        <f t="shared" si="28"/>
        <v>4827.7</v>
      </c>
      <c r="L44" s="22">
        <f>ROUND($I44*0.65,2)</f>
        <v>62760.1</v>
      </c>
    </row>
    <row r="45" spans="1:12" s="23" customFormat="1" ht="15" customHeight="1" x14ac:dyDescent="0.25">
      <c r="A45" s="20">
        <f t="shared" si="3"/>
        <v>45367</v>
      </c>
      <c r="B45" s="21">
        <v>10845</v>
      </c>
      <c r="C45" s="21">
        <v>24122</v>
      </c>
      <c r="D45" s="21">
        <v>0</v>
      </c>
      <c r="E45" s="21">
        <v>180</v>
      </c>
      <c r="F45" s="21">
        <v>9568</v>
      </c>
      <c r="G45" s="21">
        <v>0</v>
      </c>
      <c r="H45" s="21">
        <v>4853</v>
      </c>
      <c r="I45" s="22">
        <f t="shared" ref="I45" si="38">SUM(B45:H45)</f>
        <v>49568</v>
      </c>
      <c r="J45" s="22">
        <f t="shared" si="1"/>
        <v>14870.4</v>
      </c>
      <c r="K45" s="22">
        <f t="shared" si="28"/>
        <v>2478.4</v>
      </c>
      <c r="L45" s="22">
        <f>ROUND($I45*0.65,2)</f>
        <v>32219.200000000001</v>
      </c>
    </row>
    <row r="46" spans="1:12" s="23" customFormat="1" ht="15" customHeight="1" x14ac:dyDescent="0.25">
      <c r="A46" s="20">
        <f t="shared" si="3"/>
        <v>45374</v>
      </c>
      <c r="B46" s="21">
        <v>131079</v>
      </c>
      <c r="C46" s="21">
        <v>44888</v>
      </c>
      <c r="D46" s="21">
        <v>0</v>
      </c>
      <c r="E46" s="21">
        <v>190</v>
      </c>
      <c r="F46" s="21">
        <v>-8298</v>
      </c>
      <c r="G46" s="21">
        <v>0</v>
      </c>
      <c r="H46" s="21">
        <v>3447</v>
      </c>
      <c r="I46" s="22">
        <f t="shared" ref="I46" si="39">SUM(B46:H46)</f>
        <v>171306</v>
      </c>
      <c r="J46" s="22">
        <f t="shared" si="1"/>
        <v>51391.8</v>
      </c>
      <c r="K46" s="22">
        <f t="shared" si="28"/>
        <v>8565.2999999999993</v>
      </c>
      <c r="L46" s="22">
        <f>ROUND($I46*0.65,2)</f>
        <v>111348.9</v>
      </c>
    </row>
    <row r="47" spans="1:12" s="23" customFormat="1" ht="15" customHeight="1" x14ac:dyDescent="0.25">
      <c r="A47" s="20">
        <f t="shared" si="3"/>
        <v>45381</v>
      </c>
      <c r="B47" s="21">
        <v>103923.5</v>
      </c>
      <c r="C47" s="21">
        <v>-11301</v>
      </c>
      <c r="D47" s="21">
        <v>0</v>
      </c>
      <c r="E47" s="21">
        <v>140</v>
      </c>
      <c r="F47" s="21">
        <v>21695</v>
      </c>
      <c r="G47" s="21">
        <v>0</v>
      </c>
      <c r="H47" s="21">
        <v>2205</v>
      </c>
      <c r="I47" s="22">
        <f t="shared" ref="I47" si="40">SUM(B47:H47)</f>
        <v>116662.5</v>
      </c>
      <c r="J47" s="22">
        <f t="shared" si="1"/>
        <v>34998.75</v>
      </c>
      <c r="K47" s="22">
        <f t="shared" si="28"/>
        <v>5833.13</v>
      </c>
      <c r="L47" s="22">
        <f>ROUND($I47*0.65,2)-0.01</f>
        <v>75830.62000000001</v>
      </c>
    </row>
    <row r="48" spans="1:12" s="23" customFormat="1" ht="15" customHeight="1" x14ac:dyDescent="0.25">
      <c r="A48" s="20">
        <f t="shared" si="3"/>
        <v>45388</v>
      </c>
      <c r="B48" s="21">
        <v>51384.5</v>
      </c>
      <c r="C48" s="21">
        <v>15671</v>
      </c>
      <c r="D48" s="21">
        <v>0</v>
      </c>
      <c r="E48" s="21">
        <v>190</v>
      </c>
      <c r="F48" s="21">
        <v>8745</v>
      </c>
      <c r="G48" s="21">
        <v>0</v>
      </c>
      <c r="H48" s="21">
        <v>6504</v>
      </c>
      <c r="I48" s="22">
        <f t="shared" ref="I48" si="41">SUM(B48:H48)</f>
        <v>82494.5</v>
      </c>
      <c r="J48" s="22">
        <f t="shared" si="1"/>
        <v>24748.35</v>
      </c>
      <c r="K48" s="22">
        <f t="shared" si="28"/>
        <v>4124.7299999999996</v>
      </c>
      <c r="L48" s="22">
        <f>ROUND($I48*0.65,2)-0.01</f>
        <v>53621.42</v>
      </c>
    </row>
    <row r="49" spans="1:12" s="23" customFormat="1" ht="15" customHeight="1" x14ac:dyDescent="0.25">
      <c r="A49" s="20">
        <f t="shared" si="3"/>
        <v>45395</v>
      </c>
      <c r="B49" s="21">
        <v>18945.5</v>
      </c>
      <c r="C49" s="21">
        <v>12707</v>
      </c>
      <c r="D49" s="21">
        <v>1750</v>
      </c>
      <c r="E49" s="21">
        <v>180</v>
      </c>
      <c r="F49" s="21">
        <v>-2268</v>
      </c>
      <c r="G49" s="21">
        <v>0</v>
      </c>
      <c r="H49" s="21">
        <v>10923</v>
      </c>
      <c r="I49" s="22">
        <f t="shared" ref="I49" si="42">SUM(B49:H49)</f>
        <v>42237.5</v>
      </c>
      <c r="J49" s="22">
        <f t="shared" si="1"/>
        <v>12671.25</v>
      </c>
      <c r="K49" s="22">
        <f t="shared" si="28"/>
        <v>2111.88</v>
      </c>
      <c r="L49" s="22">
        <f>ROUND($I49*0.65,2)-0.01</f>
        <v>27454.370000000003</v>
      </c>
    </row>
    <row r="50" spans="1:12" s="23" customFormat="1" ht="15" customHeight="1" x14ac:dyDescent="0.25">
      <c r="A50" s="20">
        <f t="shared" si="3"/>
        <v>45402</v>
      </c>
      <c r="B50" s="21">
        <v>-6966</v>
      </c>
      <c r="C50" s="21">
        <v>42019</v>
      </c>
      <c r="D50" s="21">
        <v>0</v>
      </c>
      <c r="E50" s="21">
        <v>0</v>
      </c>
      <c r="F50" s="21">
        <v>-15666</v>
      </c>
      <c r="G50" s="21">
        <v>0</v>
      </c>
      <c r="H50" s="21">
        <v>2293</v>
      </c>
      <c r="I50" s="22">
        <f t="shared" ref="I50" si="43">SUM(B50:H50)</f>
        <v>21680</v>
      </c>
      <c r="J50" s="22">
        <f t="shared" si="1"/>
        <v>6504</v>
      </c>
      <c r="K50" s="22">
        <f t="shared" si="28"/>
        <v>1084</v>
      </c>
      <c r="L50" s="22">
        <f>ROUND($I50*0.65,2)</f>
        <v>14092</v>
      </c>
    </row>
    <row r="51" spans="1:12" s="23" customFormat="1" ht="15" customHeight="1" x14ac:dyDescent="0.25">
      <c r="A51" s="20">
        <f t="shared" si="3"/>
        <v>45409</v>
      </c>
      <c r="B51" s="21">
        <v>42831</v>
      </c>
      <c r="C51" s="21">
        <v>-3521</v>
      </c>
      <c r="D51" s="21">
        <v>0</v>
      </c>
      <c r="E51" s="21">
        <v>0</v>
      </c>
      <c r="F51" s="21">
        <v>23289</v>
      </c>
      <c r="G51" s="21">
        <v>0</v>
      </c>
      <c r="H51" s="21">
        <v>5020</v>
      </c>
      <c r="I51" s="22">
        <f t="shared" ref="I51" si="44">SUM(B51:H51)</f>
        <v>67619</v>
      </c>
      <c r="J51" s="22">
        <f t="shared" si="1"/>
        <v>20285.7</v>
      </c>
      <c r="K51" s="22">
        <f t="shared" si="28"/>
        <v>3380.95</v>
      </c>
      <c r="L51" s="22">
        <f>ROUND($I51*0.65,2)</f>
        <v>43952.35</v>
      </c>
    </row>
    <row r="52" spans="1:12" s="23" customFormat="1" ht="15" customHeight="1" x14ac:dyDescent="0.25">
      <c r="A52" s="20">
        <f t="shared" si="3"/>
        <v>45416</v>
      </c>
      <c r="B52" s="21">
        <v>43856</v>
      </c>
      <c r="C52" s="21">
        <v>29517</v>
      </c>
      <c r="D52" s="21">
        <v>0</v>
      </c>
      <c r="E52" s="21">
        <v>0</v>
      </c>
      <c r="F52" s="21">
        <v>21231</v>
      </c>
      <c r="G52" s="21">
        <v>0</v>
      </c>
      <c r="H52" s="21">
        <v>7722</v>
      </c>
      <c r="I52" s="22">
        <f t="shared" ref="I52" si="45">SUM(B52:H52)</f>
        <v>102326</v>
      </c>
      <c r="J52" s="22">
        <f t="shared" si="1"/>
        <v>30697.8</v>
      </c>
      <c r="K52" s="22">
        <f t="shared" si="28"/>
        <v>5116.3</v>
      </c>
      <c r="L52" s="22">
        <f>ROUND($I52*0.65,2)</f>
        <v>66511.899999999994</v>
      </c>
    </row>
    <row r="53" spans="1:12" s="23" customFormat="1" ht="15" customHeight="1" x14ac:dyDescent="0.25">
      <c r="A53" s="20">
        <f t="shared" si="3"/>
        <v>45423</v>
      </c>
      <c r="B53" s="21">
        <v>49858</v>
      </c>
      <c r="C53" s="21">
        <v>20801</v>
      </c>
      <c r="D53" s="21">
        <v>0</v>
      </c>
      <c r="E53" s="21">
        <v>0</v>
      </c>
      <c r="F53" s="21">
        <v>4810</v>
      </c>
      <c r="G53" s="21">
        <v>0</v>
      </c>
      <c r="H53" s="21">
        <v>1433</v>
      </c>
      <c r="I53" s="22">
        <f t="shared" ref="I53" si="46">SUM(B53:H53)</f>
        <v>76902</v>
      </c>
      <c r="J53" s="22">
        <f t="shared" si="1"/>
        <v>23070.6</v>
      </c>
      <c r="K53" s="22">
        <f t="shared" si="28"/>
        <v>3845.1</v>
      </c>
      <c r="L53" s="22">
        <f>ROUND($I53*0.65,2)</f>
        <v>49986.3</v>
      </c>
    </row>
    <row r="54" spans="1:12" s="23" customFormat="1" ht="15" customHeight="1" x14ac:dyDescent="0.25">
      <c r="A54" s="20">
        <f t="shared" si="3"/>
        <v>45430</v>
      </c>
      <c r="B54" s="21">
        <v>10129.497000000003</v>
      </c>
      <c r="C54" s="21">
        <v>42617</v>
      </c>
      <c r="D54" s="21">
        <v>0</v>
      </c>
      <c r="E54" s="21">
        <v>0</v>
      </c>
      <c r="F54" s="21">
        <v>6763</v>
      </c>
      <c r="G54" s="21">
        <v>0</v>
      </c>
      <c r="H54" s="21">
        <v>11745</v>
      </c>
      <c r="I54" s="22">
        <f t="shared" ref="I54" si="47">SUM(B54:H54)</f>
        <v>71254.497000000003</v>
      </c>
      <c r="J54" s="22">
        <f t="shared" si="1"/>
        <v>21376.35</v>
      </c>
      <c r="K54" s="22">
        <f t="shared" si="28"/>
        <v>3562.72</v>
      </c>
      <c r="L54" s="22">
        <f>ROUND($I54*0.65,2)+0.01</f>
        <v>46315.43</v>
      </c>
    </row>
    <row r="55" spans="1:12" s="23" customFormat="1" ht="15" customHeight="1" x14ac:dyDescent="0.25">
      <c r="A55" s="20">
        <f t="shared" si="3"/>
        <v>45437</v>
      </c>
      <c r="B55" s="21">
        <v>202109.5</v>
      </c>
      <c r="C55" s="21">
        <v>-11380</v>
      </c>
      <c r="D55" s="21">
        <v>0</v>
      </c>
      <c r="E55" s="21">
        <v>0</v>
      </c>
      <c r="F55" s="21">
        <v>16711</v>
      </c>
      <c r="G55" s="21">
        <v>-8100</v>
      </c>
      <c r="H55" s="21">
        <v>1797</v>
      </c>
      <c r="I55" s="22">
        <f t="shared" ref="I55" si="48">SUM(B55:H55)</f>
        <v>201137.5</v>
      </c>
      <c r="J55" s="22">
        <f t="shared" si="1"/>
        <v>60341.25</v>
      </c>
      <c r="K55" s="22">
        <f t="shared" si="28"/>
        <v>10056.879999999999</v>
      </c>
      <c r="L55" s="22">
        <f>ROUND($I55*0.65,2)-0.01</f>
        <v>130739.37000000001</v>
      </c>
    </row>
    <row r="56" spans="1:12" s="23" customFormat="1" ht="15" customHeight="1" x14ac:dyDescent="0.25">
      <c r="A56" s="20">
        <f t="shared" si="3"/>
        <v>45444</v>
      </c>
      <c r="B56" s="21">
        <v>133564</v>
      </c>
      <c r="C56" s="21">
        <v>64504</v>
      </c>
      <c r="D56" s="21">
        <v>0</v>
      </c>
      <c r="E56" s="21">
        <v>0</v>
      </c>
      <c r="F56" s="21">
        <v>-5872</v>
      </c>
      <c r="G56" s="21">
        <v>0</v>
      </c>
      <c r="H56" s="21">
        <v>6244</v>
      </c>
      <c r="I56" s="22">
        <f t="shared" ref="I56" si="49">SUM(B56:H56)</f>
        <v>198440</v>
      </c>
      <c r="J56" s="22">
        <f t="shared" si="1"/>
        <v>59532</v>
      </c>
      <c r="K56" s="22">
        <f t="shared" si="28"/>
        <v>9922</v>
      </c>
      <c r="L56" s="22">
        <f>ROUND($I56*0.65,2)</f>
        <v>128986</v>
      </c>
    </row>
    <row r="57" spans="1:12" s="23" customFormat="1" ht="15" customHeight="1" x14ac:dyDescent="0.25">
      <c r="A57" s="20">
        <f t="shared" si="3"/>
        <v>45451</v>
      </c>
      <c r="B57" s="21">
        <v>146830</v>
      </c>
      <c r="C57" s="21">
        <v>-5995</v>
      </c>
      <c r="D57" s="21">
        <v>0</v>
      </c>
      <c r="E57" s="21">
        <v>0</v>
      </c>
      <c r="F57" s="21">
        <v>25616</v>
      </c>
      <c r="G57" s="21">
        <v>0</v>
      </c>
      <c r="H57" s="21">
        <v>8148</v>
      </c>
      <c r="I57" s="22">
        <f t="shared" ref="I57" si="50">SUM(B57:H57)</f>
        <v>174599</v>
      </c>
      <c r="J57" s="22">
        <f t="shared" si="1"/>
        <v>52379.7</v>
      </c>
      <c r="K57" s="22">
        <f t="shared" si="28"/>
        <v>8729.9500000000007</v>
      </c>
      <c r="L57" s="22">
        <f>ROUND($I57*0.65,2)</f>
        <v>113489.35</v>
      </c>
    </row>
    <row r="58" spans="1:12" s="23" customFormat="1" ht="15" customHeight="1" x14ac:dyDescent="0.25">
      <c r="A58" s="20">
        <f t="shared" si="3"/>
        <v>45458</v>
      </c>
      <c r="B58" s="21">
        <v>60973</v>
      </c>
      <c r="C58" s="21">
        <v>14482</v>
      </c>
      <c r="D58" s="21">
        <v>1093</v>
      </c>
      <c r="E58" s="21">
        <v>0</v>
      </c>
      <c r="F58" s="21">
        <v>2583</v>
      </c>
      <c r="G58" s="21">
        <v>0</v>
      </c>
      <c r="H58" s="21">
        <v>4724</v>
      </c>
      <c r="I58" s="22">
        <f t="shared" ref="I58" si="51">SUM(B58:H58)</f>
        <v>83855</v>
      </c>
      <c r="J58" s="22">
        <f t="shared" si="1"/>
        <v>25156.5</v>
      </c>
      <c r="K58" s="22">
        <f t="shared" si="28"/>
        <v>4192.75</v>
      </c>
      <c r="L58" s="22">
        <f>ROUND($I58*0.65,2)</f>
        <v>54505.75</v>
      </c>
    </row>
    <row r="59" spans="1:12" s="23" customFormat="1" ht="15" customHeight="1" x14ac:dyDescent="0.25">
      <c r="A59" s="20">
        <f t="shared" si="3"/>
        <v>45465</v>
      </c>
      <c r="B59" s="21">
        <v>-86856</v>
      </c>
      <c r="C59" s="21">
        <v>19679</v>
      </c>
      <c r="D59" s="21">
        <v>0</v>
      </c>
      <c r="E59" s="21">
        <v>0</v>
      </c>
      <c r="F59" s="21">
        <v>-13758</v>
      </c>
      <c r="G59" s="21">
        <v>0</v>
      </c>
      <c r="H59" s="21">
        <v>9045</v>
      </c>
      <c r="I59" s="22">
        <f t="shared" ref="I59" si="52">SUM(B59:H59)</f>
        <v>-71890</v>
      </c>
      <c r="J59" s="22">
        <f t="shared" si="1"/>
        <v>-21567</v>
      </c>
      <c r="K59" s="22">
        <f t="shared" si="28"/>
        <v>-3594.5</v>
      </c>
      <c r="L59" s="22">
        <f>ROUND($I59*0.65,2)</f>
        <v>-46728.5</v>
      </c>
    </row>
    <row r="60" spans="1:12" s="23" customFormat="1" ht="15" customHeight="1" x14ac:dyDescent="0.25">
      <c r="A60" s="20">
        <f t="shared" si="3"/>
        <v>45472</v>
      </c>
      <c r="B60" s="21">
        <v>148521</v>
      </c>
      <c r="C60" s="21">
        <v>-15968</v>
      </c>
      <c r="D60" s="21">
        <v>0</v>
      </c>
      <c r="E60" s="21">
        <v>0</v>
      </c>
      <c r="F60" s="21">
        <v>-2476</v>
      </c>
      <c r="G60" s="21">
        <v>0</v>
      </c>
      <c r="H60" s="21">
        <v>6119</v>
      </c>
      <c r="I60" s="22">
        <f t="shared" ref="I60" si="53">SUM(B60:H60)</f>
        <v>136196</v>
      </c>
      <c r="J60" s="22">
        <f t="shared" si="1"/>
        <v>40858.800000000003</v>
      </c>
      <c r="K60" s="22">
        <f t="shared" si="28"/>
        <v>6809.8</v>
      </c>
      <c r="L60" s="22">
        <f>ROUND($I60*0.65,2)</f>
        <v>88527.4</v>
      </c>
    </row>
    <row r="61" spans="1:12" s="23" customFormat="1" ht="15" customHeight="1" x14ac:dyDescent="0.25">
      <c r="A61" s="12" t="s">
        <v>33</v>
      </c>
      <c r="B61" s="21">
        <v>5811.5</v>
      </c>
      <c r="C61" s="21">
        <v>593</v>
      </c>
      <c r="D61" s="21">
        <v>0</v>
      </c>
      <c r="E61" s="21">
        <v>0</v>
      </c>
      <c r="F61" s="21">
        <v>-21764</v>
      </c>
      <c r="G61" s="21">
        <v>0</v>
      </c>
      <c r="H61" s="21">
        <v>131</v>
      </c>
      <c r="I61" s="22">
        <f t="shared" ref="I61" si="54">SUM(B61:H61)</f>
        <v>-15228.5</v>
      </c>
      <c r="J61" s="22">
        <f t="shared" si="1"/>
        <v>-4568.55</v>
      </c>
      <c r="K61" s="22">
        <f t="shared" si="28"/>
        <v>-761.43</v>
      </c>
      <c r="L61" s="22">
        <f>ROUND($I61*0.65,2)+0.01</f>
        <v>-9898.52</v>
      </c>
    </row>
    <row r="62" spans="1:12" ht="15" customHeight="1" x14ac:dyDescent="0.25">
      <c r="A62" s="12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 ht="15" customHeight="1" thickBot="1" x14ac:dyDescent="0.3">
      <c r="B63" s="9">
        <f>SUM(B8:B62)</f>
        <v>4331221.9969999995</v>
      </c>
      <c r="C63" s="9">
        <f t="shared" ref="C63:I63" si="55">SUM(C8:C62)</f>
        <v>735138</v>
      </c>
      <c r="D63" s="9">
        <f t="shared" si="55"/>
        <v>6904.25</v>
      </c>
      <c r="E63" s="9">
        <f t="shared" si="55"/>
        <v>2095</v>
      </c>
      <c r="F63" s="9">
        <f t="shared" si="55"/>
        <v>535505</v>
      </c>
      <c r="G63" s="9">
        <f t="shared" si="55"/>
        <v>9561</v>
      </c>
      <c r="H63" s="9">
        <f t="shared" si="55"/>
        <v>436137</v>
      </c>
      <c r="I63" s="9">
        <f t="shared" si="55"/>
        <v>6056562.2470000004</v>
      </c>
      <c r="J63" s="9">
        <f>SUM(J8:J62)</f>
        <v>1816968.6800000009</v>
      </c>
      <c r="K63" s="9">
        <f>SUM(K8:K62)</f>
        <v>302828.21999999997</v>
      </c>
      <c r="L63" s="9">
        <f>SUM(L8:L62)</f>
        <v>3936765.3499999996</v>
      </c>
    </row>
    <row r="64" spans="1:12" ht="15" customHeight="1" thickTop="1" x14ac:dyDescent="0.25"/>
    <row r="65" spans="1:1" ht="15" customHeight="1" x14ac:dyDescent="0.25">
      <c r="A65" s="19" t="s">
        <v>29</v>
      </c>
    </row>
    <row r="66" spans="1:1" ht="15" customHeight="1" x14ac:dyDescent="0.25">
      <c r="A66" s="19" t="s">
        <v>34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zoomScaleNormal="100" workbookViewId="0">
      <pane ySplit="3" topLeftCell="A34" activePane="bottomLeft" state="frozen"/>
      <selection pane="bottomLeft" activeCell="A61" sqref="A61"/>
    </sheetView>
  </sheetViews>
  <sheetFormatPr defaultRowHeight="15" customHeight="1" x14ac:dyDescent="0.25"/>
  <cols>
    <col min="1" max="1" width="12.7109375" style="1" customWidth="1"/>
    <col min="2" max="2" width="18" style="1" bestFit="1" customWidth="1"/>
    <col min="3" max="3" width="16.140625" style="1" bestFit="1" customWidth="1"/>
    <col min="4" max="4" width="15" style="1" bestFit="1" customWidth="1"/>
    <col min="5" max="5" width="14.7109375" style="1" customWidth="1"/>
    <col min="6" max="6" width="15" style="1" bestFit="1" customWidth="1"/>
    <col min="7" max="7" width="13.28515625" style="1" bestFit="1" customWidth="1"/>
    <col min="8" max="8" width="13.7109375" style="1" customWidth="1"/>
    <col min="9" max="9" width="15" style="1" bestFit="1" customWidth="1"/>
    <col min="10" max="10" width="11.7109375" style="1" customWidth="1"/>
    <col min="11" max="11" width="13.28515625" style="1" customWidth="1"/>
    <col min="12" max="16384" width="9.140625" style="1"/>
  </cols>
  <sheetData>
    <row r="1" spans="1:11" s="2" customFormat="1" ht="60" x14ac:dyDescent="0.25">
      <c r="B1" s="3" t="s">
        <v>0</v>
      </c>
      <c r="C1" s="3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36</v>
      </c>
    </row>
    <row r="2" spans="1:11" ht="15" customHeight="1" x14ac:dyDescent="0.25">
      <c r="A2" s="1" t="s">
        <v>31</v>
      </c>
      <c r="B2" s="17">
        <v>64152541.960000008</v>
      </c>
      <c r="C2" s="17">
        <v>59038808.339999996</v>
      </c>
      <c r="D2" s="17">
        <v>1007680</v>
      </c>
      <c r="E2" s="17">
        <v>4106053.6199999973</v>
      </c>
      <c r="F2" s="17">
        <v>1478179.22</v>
      </c>
      <c r="G2" s="17">
        <v>698029.19000000018</v>
      </c>
      <c r="H2" s="17">
        <v>192984.48999999993</v>
      </c>
      <c r="I2" s="17">
        <v>1736860.7200000002</v>
      </c>
      <c r="J2" s="17">
        <v>591.22494390316115</v>
      </c>
      <c r="K2" s="14">
        <v>131.24528301886792</v>
      </c>
    </row>
    <row r="4" spans="1:11" ht="15" customHeight="1" x14ac:dyDescent="0.25">
      <c r="A4" s="26" t="s">
        <v>28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15" customHeight="1" x14ac:dyDescent="0.25">
      <c r="A6" s="12" t="s">
        <v>30</v>
      </c>
      <c r="B6" s="8">
        <v>379997.13</v>
      </c>
      <c r="C6" s="8">
        <v>357762.73</v>
      </c>
      <c r="D6" s="8">
        <v>5675</v>
      </c>
      <c r="E6" s="8">
        <f t="shared" ref="E6" si="0">B6-C6-D6</f>
        <v>16559.400000000023</v>
      </c>
      <c r="F6" s="8">
        <f>ROUND($E6*0.36,2)</f>
        <v>5961.38</v>
      </c>
      <c r="G6" s="8">
        <f>ROUND($E6*0.17,2)</f>
        <v>2815.1</v>
      </c>
      <c r="H6" s="8">
        <f>ROUND($E6*0.047,2)</f>
        <v>778.29</v>
      </c>
      <c r="I6" s="8">
        <f>ROUND($E6*0.423,2)</f>
        <v>7004.63</v>
      </c>
      <c r="J6" s="13">
        <f t="shared" ref="J6" si="1">E6/K6</f>
        <v>128.36744186046531</v>
      </c>
      <c r="K6" s="14">
        <v>129</v>
      </c>
    </row>
    <row r="7" spans="1:11" ht="15" customHeight="1" x14ac:dyDescent="0.25">
      <c r="A7" s="12">
        <v>45115</v>
      </c>
      <c r="B7" s="8">
        <v>1415640.0899999999</v>
      </c>
      <c r="C7" s="8">
        <v>1262646.0399999998</v>
      </c>
      <c r="D7" s="8">
        <v>37509</v>
      </c>
      <c r="E7" s="8">
        <f t="shared" ref="E7" si="2">B7-C7-D7</f>
        <v>115485.05000000005</v>
      </c>
      <c r="F7" s="8">
        <f>ROUND($E7*0.36,2)-0.02</f>
        <v>41574.600000000006</v>
      </c>
      <c r="G7" s="8">
        <f>ROUND($E7*0.17,2)+0.01</f>
        <v>19632.469999999998</v>
      </c>
      <c r="H7" s="8">
        <f>ROUND($E7*0.047,2)</f>
        <v>5427.8</v>
      </c>
      <c r="I7" s="8">
        <f>ROUND($E7*0.423,2)</f>
        <v>48850.18</v>
      </c>
      <c r="J7" s="13">
        <f t="shared" ref="J7" si="3">E7/K7</f>
        <v>881.5652671755729</v>
      </c>
      <c r="K7" s="14">
        <v>131</v>
      </c>
    </row>
    <row r="8" spans="1:11" ht="15" customHeight="1" x14ac:dyDescent="0.25">
      <c r="A8" s="12">
        <v>45122</v>
      </c>
      <c r="B8" s="8">
        <v>1468429.46</v>
      </c>
      <c r="C8" s="8">
        <v>1374365.25</v>
      </c>
      <c r="D8" s="8">
        <v>8940</v>
      </c>
      <c r="E8" s="8">
        <f t="shared" ref="E8" si="4">B8-C8-D8</f>
        <v>85124.209999999963</v>
      </c>
      <c r="F8" s="8">
        <f>ROUND($E8*0.36,2)-0.02</f>
        <v>30644.7</v>
      </c>
      <c r="G8" s="8">
        <f>ROUND($E8*0.17,2)</f>
        <v>14471.12</v>
      </c>
      <c r="H8" s="8">
        <f>ROUND($E8*0.047,2)</f>
        <v>4000.84</v>
      </c>
      <c r="I8" s="8">
        <f>ROUND($E8*0.423,2)+0.01</f>
        <v>36007.550000000003</v>
      </c>
      <c r="J8" s="13">
        <f t="shared" ref="J8" si="5">E8/K8</f>
        <v>644.8803787878785</v>
      </c>
      <c r="K8" s="14">
        <v>132</v>
      </c>
    </row>
    <row r="9" spans="1:11" ht="15" customHeight="1" x14ac:dyDescent="0.25">
      <c r="A9" s="12">
        <f t="shared" ref="A9:A58" si="6">A8+7</f>
        <v>45129</v>
      </c>
      <c r="B9" s="8">
        <v>1165305.25</v>
      </c>
      <c r="C9" s="8">
        <v>1063754.6499999999</v>
      </c>
      <c r="D9" s="8">
        <v>21920</v>
      </c>
      <c r="E9" s="8">
        <f t="shared" ref="E9" si="7">B9-C9-D9</f>
        <v>79630.600000000093</v>
      </c>
      <c r="F9" s="8">
        <f>ROUND($E9*0.36,2)</f>
        <v>28667.02</v>
      </c>
      <c r="G9" s="8">
        <f>ROUND($E9*0.17,2)</f>
        <v>13537.2</v>
      </c>
      <c r="H9" s="8">
        <f>ROUND($E9*0.047,2)</f>
        <v>3742.64</v>
      </c>
      <c r="I9" s="8">
        <f>ROUND($E9*0.423,2)</f>
        <v>33683.74</v>
      </c>
      <c r="J9" s="13">
        <f t="shared" ref="J9" si="8">E9/K9</f>
        <v>652.70983606557456</v>
      </c>
      <c r="K9" s="14">
        <v>122</v>
      </c>
    </row>
    <row r="10" spans="1:11" ht="15" customHeight="1" x14ac:dyDescent="0.25">
      <c r="A10" s="12">
        <f t="shared" si="6"/>
        <v>45136</v>
      </c>
      <c r="B10" s="8">
        <v>1144382.77</v>
      </c>
      <c r="C10" s="8">
        <v>1037634.9599999998</v>
      </c>
      <c r="D10" s="8">
        <v>19115</v>
      </c>
      <c r="E10" s="8">
        <f t="shared" ref="E10:E12" si="9">B10-C10-D10</f>
        <v>87632.810000000172</v>
      </c>
      <c r="F10" s="8">
        <f>ROUND($E10*0.36,2)-0.01</f>
        <v>31547.800000000003</v>
      </c>
      <c r="G10" s="8">
        <f>ROUND($E10*0.17,2)</f>
        <v>14897.58</v>
      </c>
      <c r="H10" s="8">
        <f>ROUND($E10*0.047,2)+0.01</f>
        <v>4118.75</v>
      </c>
      <c r="I10" s="8">
        <f>ROUND($E10*0.423,2)</f>
        <v>37068.68</v>
      </c>
      <c r="J10" s="13">
        <f t="shared" ref="J10" si="10">E10/K10</f>
        <v>701.06248000000141</v>
      </c>
      <c r="K10" s="14">
        <v>125</v>
      </c>
    </row>
    <row r="11" spans="1:11" ht="15" customHeight="1" x14ac:dyDescent="0.25">
      <c r="A11" s="12">
        <f t="shared" si="6"/>
        <v>45143</v>
      </c>
      <c r="B11" s="8">
        <v>1161340.33</v>
      </c>
      <c r="C11" s="8">
        <v>996335.37</v>
      </c>
      <c r="D11" s="8">
        <v>27807</v>
      </c>
      <c r="E11" s="8">
        <f>B11-C11-D11</f>
        <v>137197.96000000008</v>
      </c>
      <c r="F11" s="8">
        <f>ROUND($E11*0.36,2)+0.02</f>
        <v>49391.289999999994</v>
      </c>
      <c r="G11" s="8">
        <f>ROUND($E11*0.17,2)-0.01</f>
        <v>23323.640000000003</v>
      </c>
      <c r="H11" s="8">
        <f>ROUND($E11*0.047,2)-0.01</f>
        <v>6448.29</v>
      </c>
      <c r="I11" s="8">
        <f>ROUND($E11*0.423,2)</f>
        <v>58034.74</v>
      </c>
      <c r="J11" s="13">
        <f t="shared" ref="J11" si="11">E11/K11</f>
        <v>1182.7410344827592</v>
      </c>
      <c r="K11" s="14">
        <v>116</v>
      </c>
    </row>
    <row r="12" spans="1:11" ht="15" customHeight="1" x14ac:dyDescent="0.25">
      <c r="A12" s="12">
        <f t="shared" si="6"/>
        <v>45150</v>
      </c>
      <c r="B12" s="8">
        <v>1091591.6299999999</v>
      </c>
      <c r="C12" s="8">
        <v>972562.12999999989</v>
      </c>
      <c r="D12" s="8">
        <v>8758</v>
      </c>
      <c r="E12" s="8">
        <f t="shared" si="9"/>
        <v>110271.5</v>
      </c>
      <c r="F12" s="8">
        <f>ROUND($E12*0.36,2)+0.03</f>
        <v>39697.769999999997</v>
      </c>
      <c r="G12" s="8">
        <f>ROUND($E12*0.17,2)-0.02</f>
        <v>18746.14</v>
      </c>
      <c r="H12" s="8">
        <f>ROUND($E12*0.047,2)-0.01</f>
        <v>5182.75</v>
      </c>
      <c r="I12" s="8">
        <f>ROUND($E12*0.423,2)</f>
        <v>46644.84</v>
      </c>
      <c r="J12" s="13">
        <f t="shared" ref="J12" si="12">E12/K12</f>
        <v>835.3901515151515</v>
      </c>
      <c r="K12" s="14">
        <v>132</v>
      </c>
    </row>
    <row r="13" spans="1:11" ht="15" customHeight="1" x14ac:dyDescent="0.25">
      <c r="A13" s="12">
        <f t="shared" si="6"/>
        <v>45157</v>
      </c>
      <c r="B13" s="8">
        <v>1176412.19</v>
      </c>
      <c r="C13" s="8">
        <v>1102506.0399999998</v>
      </c>
      <c r="D13" s="8">
        <v>15493</v>
      </c>
      <c r="E13" s="8">
        <f t="shared" ref="E13:E15" si="13">B13-C13-D13</f>
        <v>58413.15000000014</v>
      </c>
      <c r="F13" s="8">
        <f>ROUND($E13*0.36,2)</f>
        <v>21028.73</v>
      </c>
      <c r="G13" s="8">
        <f>ROUND($E13*0.17,2)-0.01</f>
        <v>9930.23</v>
      </c>
      <c r="H13" s="8">
        <f>ROUND($E13*0.047,2)</f>
        <v>2745.42</v>
      </c>
      <c r="I13" s="8">
        <f>ROUND($E13*0.423,2)+0.01</f>
        <v>24708.769999999997</v>
      </c>
      <c r="J13" s="13">
        <f t="shared" ref="J13" si="14">E13/K13</f>
        <v>435.91902985074734</v>
      </c>
      <c r="K13" s="14">
        <v>134</v>
      </c>
    </row>
    <row r="14" spans="1:11" ht="15" customHeight="1" x14ac:dyDescent="0.25">
      <c r="A14" s="12">
        <f t="shared" si="6"/>
        <v>45164</v>
      </c>
      <c r="B14" s="8">
        <v>1479600.07</v>
      </c>
      <c r="C14" s="8">
        <v>1388959.53</v>
      </c>
      <c r="D14" s="8">
        <v>44245</v>
      </c>
      <c r="E14" s="8">
        <f t="shared" si="13"/>
        <v>46395.540000000037</v>
      </c>
      <c r="F14" s="8">
        <f>ROUND($E14*0.36,2)</f>
        <v>16702.39</v>
      </c>
      <c r="G14" s="8">
        <f>ROUND($E14*0.17,2)</f>
        <v>7887.24</v>
      </c>
      <c r="H14" s="8">
        <f>ROUND($E14*0.047,2)</f>
        <v>2180.59</v>
      </c>
      <c r="I14" s="8">
        <f>ROUND($E14*0.423,2)+0.01</f>
        <v>19625.32</v>
      </c>
      <c r="J14" s="13">
        <f t="shared" ref="J14" si="15">E14/K14</f>
        <v>341.1436764705885</v>
      </c>
      <c r="K14" s="14">
        <v>136</v>
      </c>
    </row>
    <row r="15" spans="1:11" ht="15" customHeight="1" x14ac:dyDescent="0.25">
      <c r="A15" s="12">
        <f t="shared" si="6"/>
        <v>45171</v>
      </c>
      <c r="B15" s="8">
        <v>982509.96</v>
      </c>
      <c r="C15" s="8">
        <v>872331.72</v>
      </c>
      <c r="D15" s="8">
        <v>8381</v>
      </c>
      <c r="E15" s="8">
        <f t="shared" si="13"/>
        <v>101797.23999999999</v>
      </c>
      <c r="F15" s="8">
        <f>ROUND($E15*0.36,2)-0.02</f>
        <v>36646.990000000005</v>
      </c>
      <c r="G15" s="8">
        <f>ROUND($E15*0.17,2)-0.01</f>
        <v>17305.52</v>
      </c>
      <c r="H15" s="8">
        <f>ROUND($E15*0.047,2)+0.02</f>
        <v>4784.4900000000007</v>
      </c>
      <c r="I15" s="8">
        <f>ROUND($E15*0.423,2)+0.01</f>
        <v>43060.240000000005</v>
      </c>
      <c r="J15" s="13">
        <f t="shared" ref="J15" si="16">E15/K15</f>
        <v>814.3779199999999</v>
      </c>
      <c r="K15" s="14">
        <v>125</v>
      </c>
    </row>
    <row r="16" spans="1:11" ht="15" customHeight="1" x14ac:dyDescent="0.25">
      <c r="A16" s="12">
        <f t="shared" si="6"/>
        <v>45178</v>
      </c>
      <c r="B16" s="8">
        <v>1509627.3499999999</v>
      </c>
      <c r="C16" s="8">
        <v>1362714.79</v>
      </c>
      <c r="D16" s="8">
        <v>24545</v>
      </c>
      <c r="E16" s="8">
        <f t="shared" ref="E16" si="17">B16-C16-D16</f>
        <v>122367.55999999982</v>
      </c>
      <c r="F16" s="8">
        <f>ROUND($E16*0.36,2)-0.01</f>
        <v>44052.31</v>
      </c>
      <c r="G16" s="8">
        <f>ROUND($E16*0.17,2)+0.01</f>
        <v>20802.5</v>
      </c>
      <c r="H16" s="8">
        <f>ROUND($E16*0.047,2)-0.01</f>
        <v>5751.2699999999995</v>
      </c>
      <c r="I16" s="8">
        <f>ROUND($E16*0.423,2)</f>
        <v>51761.48</v>
      </c>
      <c r="J16" s="13">
        <f t="shared" ref="J16" si="18">E16/K16</f>
        <v>948.58573643410716</v>
      </c>
      <c r="K16" s="14">
        <v>129</v>
      </c>
    </row>
    <row r="17" spans="1:11" ht="15" customHeight="1" x14ac:dyDescent="0.25">
      <c r="A17" s="12">
        <f t="shared" si="6"/>
        <v>45185</v>
      </c>
      <c r="B17" s="8">
        <v>694558.83</v>
      </c>
      <c r="C17" s="8">
        <v>652039.93000000005</v>
      </c>
      <c r="D17" s="8">
        <v>8862</v>
      </c>
      <c r="E17" s="8">
        <f t="shared" ref="E17" si="19">B17-C17-D17</f>
        <v>33656.899999999907</v>
      </c>
      <c r="F17" s="8">
        <f>ROUND($E17*0.36,2)+0.01</f>
        <v>12116.49</v>
      </c>
      <c r="G17" s="8">
        <f>ROUND($E17*0.17,2)</f>
        <v>5721.67</v>
      </c>
      <c r="H17" s="8">
        <f>ROUND($E17*0.047,2)</f>
        <v>1581.87</v>
      </c>
      <c r="I17" s="8">
        <f>ROUND($E17*0.423,2)</f>
        <v>14236.87</v>
      </c>
      <c r="J17" s="13">
        <f t="shared" ref="J17" si="20">E17/K17</f>
        <v>300.50803571428486</v>
      </c>
      <c r="K17" s="14">
        <v>112</v>
      </c>
    </row>
    <row r="18" spans="1:11" ht="15" customHeight="1" x14ac:dyDescent="0.25">
      <c r="A18" s="12">
        <f t="shared" si="6"/>
        <v>45192</v>
      </c>
      <c r="B18" s="8">
        <v>1706136.4999999998</v>
      </c>
      <c r="C18" s="8">
        <v>1579724.48</v>
      </c>
      <c r="D18" s="8">
        <v>29602</v>
      </c>
      <c r="E18" s="8">
        <f t="shared" ref="E18" si="21">B18-C18-D18</f>
        <v>96810.019999999786</v>
      </c>
      <c r="F18" s="8">
        <f>ROUND($E18*0.36,2)</f>
        <v>34851.61</v>
      </c>
      <c r="G18" s="8">
        <f>ROUND($E18*0.17,2)</f>
        <v>16457.7</v>
      </c>
      <c r="H18" s="8">
        <f>ROUND($E18*0.047,2)+0.01</f>
        <v>4550.08</v>
      </c>
      <c r="I18" s="8">
        <f>ROUND($E18*0.423,2)-0.01</f>
        <v>40950.629999999997</v>
      </c>
      <c r="J18" s="13">
        <f t="shared" ref="J18" si="22">E18/K18</f>
        <v>744.69246153845984</v>
      </c>
      <c r="K18" s="14">
        <v>130</v>
      </c>
    </row>
    <row r="19" spans="1:11" ht="15" customHeight="1" x14ac:dyDescent="0.25">
      <c r="A19" s="12">
        <f t="shared" si="6"/>
        <v>45199</v>
      </c>
      <c r="B19" s="8">
        <v>599019.82000000007</v>
      </c>
      <c r="C19" s="8">
        <v>549406.57000000007</v>
      </c>
      <c r="D19" s="8">
        <v>12140</v>
      </c>
      <c r="E19" s="8">
        <f t="shared" ref="E19" si="23">B19-C19-D19</f>
        <v>37473.25</v>
      </c>
      <c r="F19" s="8">
        <f>ROUND($E19*0.36,2)+0.01</f>
        <v>13490.380000000001</v>
      </c>
      <c r="G19" s="8">
        <f>ROUND($E19*0.17,2)</f>
        <v>6370.45</v>
      </c>
      <c r="H19" s="8">
        <f>ROUND($E19*0.047,2)</f>
        <v>1761.24</v>
      </c>
      <c r="I19" s="8">
        <f>ROUND($E19*0.423,2)</f>
        <v>15851.18</v>
      </c>
      <c r="J19" s="13">
        <f t="shared" ref="J19" si="24">E19/K19</f>
        <v>317.56991525423729</v>
      </c>
      <c r="K19" s="14">
        <v>118</v>
      </c>
    </row>
    <row r="20" spans="1:11" ht="15" customHeight="1" x14ac:dyDescent="0.25">
      <c r="A20" s="12">
        <f t="shared" si="6"/>
        <v>45206</v>
      </c>
      <c r="B20" s="8">
        <v>1007892.73</v>
      </c>
      <c r="C20" s="8">
        <v>877805.60000000009</v>
      </c>
      <c r="D20" s="8">
        <v>12698</v>
      </c>
      <c r="E20" s="8">
        <f t="shared" ref="E20" si="25">B20-C20-D20</f>
        <v>117389.12999999989</v>
      </c>
      <c r="F20" s="8">
        <f>ROUND($E20*0.36,2)</f>
        <v>42260.09</v>
      </c>
      <c r="G20" s="8">
        <f>ROUND($E20*0.17,2)</f>
        <v>19956.150000000001</v>
      </c>
      <c r="H20" s="8">
        <f>ROUND($E20*0.047,2)</f>
        <v>5517.29</v>
      </c>
      <c r="I20" s="8">
        <f>ROUND($E20*0.423,2)</f>
        <v>49655.6</v>
      </c>
      <c r="J20" s="13">
        <f t="shared" ref="J20" si="26">E20/K20</f>
        <v>939.11303999999916</v>
      </c>
      <c r="K20" s="14">
        <v>125</v>
      </c>
    </row>
    <row r="21" spans="1:11" ht="15" customHeight="1" x14ac:dyDescent="0.25">
      <c r="A21" s="12">
        <f t="shared" si="6"/>
        <v>45213</v>
      </c>
      <c r="B21" s="8">
        <v>620772.89</v>
      </c>
      <c r="C21" s="8">
        <v>542421.27</v>
      </c>
      <c r="D21" s="8">
        <v>9363</v>
      </c>
      <c r="E21" s="8">
        <f t="shared" ref="E21" si="27">B21-C21-D21</f>
        <v>68988.62</v>
      </c>
      <c r="F21" s="8">
        <f>ROUND($E21*0.36,2)</f>
        <v>24835.9</v>
      </c>
      <c r="G21" s="8">
        <f>ROUND($E21*0.17,2)-0.01</f>
        <v>11728.06</v>
      </c>
      <c r="H21" s="8">
        <f>ROUND($E21*0.047,2)</f>
        <v>3242.47</v>
      </c>
      <c r="I21" s="8">
        <f>ROUND($E21*0.423,2)</f>
        <v>29182.19</v>
      </c>
      <c r="J21" s="13">
        <f t="shared" ref="J21" si="28">E21/K21</f>
        <v>534.79550387596896</v>
      </c>
      <c r="K21" s="14">
        <v>129</v>
      </c>
    </row>
    <row r="22" spans="1:11" ht="15" customHeight="1" x14ac:dyDescent="0.25">
      <c r="A22" s="12">
        <f t="shared" si="6"/>
        <v>45220</v>
      </c>
      <c r="B22" s="8">
        <v>931137.54</v>
      </c>
      <c r="C22" s="8">
        <v>797095.77</v>
      </c>
      <c r="D22" s="8">
        <v>13320</v>
      </c>
      <c r="E22" s="8">
        <f t="shared" ref="E22" si="29">B22-C22-D22</f>
        <v>120721.77000000002</v>
      </c>
      <c r="F22" s="8">
        <f>ROUND($E22*0.36,2)-0.01</f>
        <v>43459.829999999994</v>
      </c>
      <c r="G22" s="8">
        <f>ROUND($E22*0.17,2)+0.01</f>
        <v>20522.71</v>
      </c>
      <c r="H22" s="8">
        <f>ROUND($E22*0.047,2)</f>
        <v>5673.92</v>
      </c>
      <c r="I22" s="8">
        <f>ROUND($E22*0.423,2)</f>
        <v>51065.31</v>
      </c>
      <c r="J22" s="13">
        <f t="shared" ref="J22" si="30">E22/K22</f>
        <v>928.62900000000013</v>
      </c>
      <c r="K22" s="14">
        <v>130</v>
      </c>
    </row>
    <row r="23" spans="1:11" ht="15" customHeight="1" x14ac:dyDescent="0.25">
      <c r="A23" s="12">
        <f t="shared" si="6"/>
        <v>45227</v>
      </c>
      <c r="B23" s="8">
        <v>1296178.32</v>
      </c>
      <c r="C23" s="8">
        <v>1099238.99</v>
      </c>
      <c r="D23" s="8">
        <v>29380</v>
      </c>
      <c r="E23" s="8">
        <f t="shared" ref="E23" si="31">B23-C23-D23</f>
        <v>167559.33000000007</v>
      </c>
      <c r="F23" s="8">
        <f>ROUND($E23*0.36,2)+0.02</f>
        <v>60321.38</v>
      </c>
      <c r="G23" s="8">
        <f>ROUND($E23*0.17,2)-0.01</f>
        <v>28485.08</v>
      </c>
      <c r="H23" s="8">
        <f>ROUND($E23*0.047,2)-0.01</f>
        <v>7875.28</v>
      </c>
      <c r="I23" s="8">
        <f>ROUND($E23*0.423,2)-0.01</f>
        <v>70877.590000000011</v>
      </c>
      <c r="J23" s="13">
        <f t="shared" ref="J23" si="32">E23/K23</f>
        <v>1373.4371311475415</v>
      </c>
      <c r="K23" s="14">
        <v>122</v>
      </c>
    </row>
    <row r="24" spans="1:11" ht="15" customHeight="1" x14ac:dyDescent="0.25">
      <c r="A24" s="12">
        <f t="shared" si="6"/>
        <v>45234</v>
      </c>
      <c r="B24" s="8">
        <v>774881.9</v>
      </c>
      <c r="C24" s="8">
        <v>747066.51</v>
      </c>
      <c r="D24" s="8">
        <v>16647</v>
      </c>
      <c r="E24" s="8">
        <f t="shared" ref="E24" si="33">B24-C24-D24</f>
        <v>11168.390000000014</v>
      </c>
      <c r="F24" s="8">
        <f>ROUND($E24*0.36,2)</f>
        <v>4020.62</v>
      </c>
      <c r="G24" s="8">
        <f>ROUND($E24*0.17,2)</f>
        <v>1898.63</v>
      </c>
      <c r="H24" s="8">
        <f>ROUND($E24*0.047,2)</f>
        <v>524.91</v>
      </c>
      <c r="I24" s="8">
        <f>ROUND($E24*0.423,2)</f>
        <v>4724.2299999999996</v>
      </c>
      <c r="J24" s="13">
        <f t="shared" ref="J24" si="34">E24/K24</f>
        <v>95.456324786324899</v>
      </c>
      <c r="K24" s="14">
        <v>117</v>
      </c>
    </row>
    <row r="25" spans="1:11" ht="15" customHeight="1" x14ac:dyDescent="0.25">
      <c r="A25" s="12">
        <f t="shared" si="6"/>
        <v>45241</v>
      </c>
      <c r="B25" s="8">
        <v>898280.01</v>
      </c>
      <c r="C25" s="8">
        <v>817694.96</v>
      </c>
      <c r="D25" s="8">
        <v>17630</v>
      </c>
      <c r="E25" s="8">
        <f t="shared" ref="E25" si="35">B25-C25-D25</f>
        <v>62955.050000000047</v>
      </c>
      <c r="F25" s="8">
        <f>ROUND($E25*0.36,2)-0.01</f>
        <v>22663.81</v>
      </c>
      <c r="G25" s="8">
        <f>ROUND($E25*0.17,2)+0.01</f>
        <v>10702.37</v>
      </c>
      <c r="H25" s="8">
        <f>ROUND($E25*0.047,2)</f>
        <v>2958.89</v>
      </c>
      <c r="I25" s="8">
        <f>ROUND($E25*0.423,2)-0.01</f>
        <v>26629.980000000003</v>
      </c>
      <c r="J25" s="13">
        <f t="shared" ref="J25" si="36">E25/K25</f>
        <v>516.02500000000043</v>
      </c>
      <c r="K25" s="14">
        <v>122</v>
      </c>
    </row>
    <row r="26" spans="1:11" ht="15" customHeight="1" x14ac:dyDescent="0.25">
      <c r="A26" s="12">
        <f t="shared" si="6"/>
        <v>45248</v>
      </c>
      <c r="B26" s="8">
        <v>901982.62</v>
      </c>
      <c r="C26" s="8">
        <v>762450.64</v>
      </c>
      <c r="D26" s="8">
        <v>13305</v>
      </c>
      <c r="E26" s="8">
        <f t="shared" ref="E26" si="37">B26-C26-D26</f>
        <v>126226.97999999998</v>
      </c>
      <c r="F26" s="8">
        <f>ROUND($E26*0.36,2)+0.01</f>
        <v>45441.72</v>
      </c>
      <c r="G26" s="8">
        <f>ROUND($E26*0.17,2)</f>
        <v>21458.59</v>
      </c>
      <c r="H26" s="8">
        <f>ROUND($E26*0.047,2)-0.01</f>
        <v>5932.66</v>
      </c>
      <c r="I26" s="8">
        <f>ROUND($E26*0.423,2)</f>
        <v>53394.01</v>
      </c>
      <c r="J26" s="13">
        <f t="shared" ref="J26" si="38">E26/K26</f>
        <v>993.91322834645655</v>
      </c>
      <c r="K26" s="14">
        <v>127</v>
      </c>
    </row>
    <row r="27" spans="1:11" ht="15" customHeight="1" x14ac:dyDescent="0.25">
      <c r="A27" s="12">
        <f t="shared" si="6"/>
        <v>45255</v>
      </c>
      <c r="B27" s="8">
        <v>1443050.0699999998</v>
      </c>
      <c r="C27" s="8">
        <v>1336331.4700000002</v>
      </c>
      <c r="D27" s="8">
        <v>34068</v>
      </c>
      <c r="E27" s="8">
        <f t="shared" ref="E27" si="39">B27-C27-D27</f>
        <v>72650.599999999627</v>
      </c>
      <c r="F27" s="8">
        <f>ROUND($E27*0.36,2)-0.02</f>
        <v>26154.2</v>
      </c>
      <c r="G27" s="8">
        <f>ROUND($E27*0.17,2)+0.01</f>
        <v>12350.61</v>
      </c>
      <c r="H27" s="8">
        <f>ROUND($E27*0.047,2)</f>
        <v>3414.58</v>
      </c>
      <c r="I27" s="8">
        <f>ROUND($E27*0.423,2)+0.01</f>
        <v>30731.21</v>
      </c>
      <c r="J27" s="13">
        <f t="shared" ref="J27" si="40">E27/K27</f>
        <v>605.42166666666355</v>
      </c>
      <c r="K27" s="14">
        <v>120</v>
      </c>
    </row>
    <row r="28" spans="1:11" ht="15" customHeight="1" x14ac:dyDescent="0.25">
      <c r="A28" s="12">
        <f t="shared" si="6"/>
        <v>45262</v>
      </c>
      <c r="B28" s="8">
        <v>1099724.5999999999</v>
      </c>
      <c r="C28" s="8">
        <v>999708.40999999992</v>
      </c>
      <c r="D28" s="8">
        <v>15052</v>
      </c>
      <c r="E28" s="8">
        <f t="shared" ref="E28" si="41">B28-C28-D28</f>
        <v>84964.189999999944</v>
      </c>
      <c r="F28" s="8">
        <f>ROUND($E28*0.36,2)-0.02</f>
        <v>30587.09</v>
      </c>
      <c r="G28" s="8">
        <f>ROUND($E28*0.17,2)+0.01</f>
        <v>14443.92</v>
      </c>
      <c r="H28" s="8">
        <f>ROUND($E28*0.047,2)</f>
        <v>3993.32</v>
      </c>
      <c r="I28" s="8">
        <f>ROUND($E28*0.423,2)+0.01</f>
        <v>35939.86</v>
      </c>
      <c r="J28" s="13">
        <f t="shared" ref="J28" si="42">E28/K28</f>
        <v>679.71351999999956</v>
      </c>
      <c r="K28" s="14">
        <v>125</v>
      </c>
    </row>
    <row r="29" spans="1:11" ht="15" customHeight="1" x14ac:dyDescent="0.25">
      <c r="A29" s="12">
        <f t="shared" si="6"/>
        <v>45269</v>
      </c>
      <c r="B29" s="8">
        <v>1223234.25</v>
      </c>
      <c r="C29" s="8">
        <v>1126394.48</v>
      </c>
      <c r="D29" s="8">
        <v>22520</v>
      </c>
      <c r="E29" s="8">
        <f t="shared" ref="E29" si="43">B29-C29-D29</f>
        <v>74319.770000000019</v>
      </c>
      <c r="F29" s="8">
        <f>ROUND($E29*0.36,2)</f>
        <v>26755.119999999999</v>
      </c>
      <c r="G29" s="8">
        <f>ROUND($E29*0.17,2)-0.01</f>
        <v>12634.35</v>
      </c>
      <c r="H29" s="8">
        <f>ROUND($E29*0.047,2)+0.01</f>
        <v>3493.0400000000004</v>
      </c>
      <c r="I29" s="8">
        <f>ROUND($E29*0.423,2)</f>
        <v>31437.26</v>
      </c>
      <c r="J29" s="13">
        <f t="shared" ref="J29" si="44">E29/K29</f>
        <v>546.4688970588237</v>
      </c>
      <c r="K29" s="14">
        <v>136</v>
      </c>
    </row>
    <row r="30" spans="1:11" ht="15" customHeight="1" x14ac:dyDescent="0.25">
      <c r="A30" s="12">
        <f t="shared" si="6"/>
        <v>45276</v>
      </c>
      <c r="B30" s="8">
        <v>1257891.28</v>
      </c>
      <c r="C30" s="8">
        <v>1125730.19</v>
      </c>
      <c r="D30" s="8">
        <v>36864</v>
      </c>
      <c r="E30" s="8">
        <f t="shared" ref="E30" si="45">B30-C30-D30</f>
        <v>95297.090000000084</v>
      </c>
      <c r="F30" s="8">
        <f>ROUND($E30*0.36,2)-0.01</f>
        <v>34306.939999999995</v>
      </c>
      <c r="G30" s="8">
        <f>ROUND($E30*0.17,2)+0.01</f>
        <v>16200.52</v>
      </c>
      <c r="H30" s="8">
        <f>ROUND($E30*0.047,2)</f>
        <v>4478.96</v>
      </c>
      <c r="I30" s="8">
        <f>ROUND($E30*0.423,2)</f>
        <v>40310.67</v>
      </c>
      <c r="J30" s="13">
        <f t="shared" ref="J30" si="46">E30/K30</f>
        <v>695.59919708029258</v>
      </c>
      <c r="K30" s="14">
        <v>137</v>
      </c>
    </row>
    <row r="31" spans="1:11" ht="15" customHeight="1" x14ac:dyDescent="0.25">
      <c r="A31" s="12">
        <f t="shared" si="6"/>
        <v>45283</v>
      </c>
      <c r="B31" s="8">
        <v>1752047.7399999998</v>
      </c>
      <c r="C31" s="8">
        <v>1547764.63</v>
      </c>
      <c r="D31" s="8">
        <v>52832</v>
      </c>
      <c r="E31" s="8">
        <f t="shared" ref="E31" si="47">B31-C31-D31</f>
        <v>151451.10999999987</v>
      </c>
      <c r="F31" s="8">
        <f>ROUND($E31*0.36,2)+0.02</f>
        <v>54522.42</v>
      </c>
      <c r="G31" s="8">
        <f>ROUND($E31*0.17,2)-0.01</f>
        <v>25746.68</v>
      </c>
      <c r="H31" s="8">
        <f>ROUND($E31*0.047,2)</f>
        <v>7118.2</v>
      </c>
      <c r="I31" s="8">
        <f>ROUND($E31*0.423,2)-0.01</f>
        <v>64063.81</v>
      </c>
      <c r="J31" s="13">
        <f t="shared" ref="J31" si="48">E31/K31</f>
        <v>1121.8600740740731</v>
      </c>
      <c r="K31" s="14">
        <v>135</v>
      </c>
    </row>
    <row r="32" spans="1:11" ht="15" customHeight="1" x14ac:dyDescent="0.25">
      <c r="A32" s="12">
        <f t="shared" si="6"/>
        <v>45290</v>
      </c>
      <c r="B32" s="8">
        <v>1123047.3799999999</v>
      </c>
      <c r="C32" s="8">
        <v>980376.09</v>
      </c>
      <c r="D32" s="8">
        <v>13975</v>
      </c>
      <c r="E32" s="8">
        <f t="shared" ref="E32" si="49">B32-C32-D32</f>
        <v>128696.28999999992</v>
      </c>
      <c r="F32" s="8">
        <f>ROUND($E32*0.36,2)</f>
        <v>46330.66</v>
      </c>
      <c r="G32" s="8">
        <f>ROUND($E32*0.17,2)</f>
        <v>21878.37</v>
      </c>
      <c r="H32" s="8">
        <f>ROUND($E32*0.047,2)</f>
        <v>6048.73</v>
      </c>
      <c r="I32" s="8">
        <f>ROUND($E32*0.423,2)</f>
        <v>54438.53</v>
      </c>
      <c r="J32" s="13">
        <f t="shared" ref="J32" si="50">E32/K32</f>
        <v>1138.9052212389374</v>
      </c>
      <c r="K32" s="14">
        <v>113</v>
      </c>
    </row>
    <row r="33" spans="1:11" ht="15" customHeight="1" x14ac:dyDescent="0.25">
      <c r="A33" s="12">
        <f t="shared" si="6"/>
        <v>45297</v>
      </c>
      <c r="B33" s="8">
        <v>1075881.69</v>
      </c>
      <c r="C33" s="8">
        <v>960002.43</v>
      </c>
      <c r="D33" s="8">
        <v>22650</v>
      </c>
      <c r="E33" s="8">
        <f t="shared" ref="E33" si="51">B33-C33-D33</f>
        <v>93229.259999999893</v>
      </c>
      <c r="F33" s="8">
        <f>ROUND($E33*0.36,2)</f>
        <v>33562.53</v>
      </c>
      <c r="G33" s="8">
        <f>ROUND($E33*0.17,2)+0.01</f>
        <v>15848.98</v>
      </c>
      <c r="H33" s="8">
        <f>ROUND($E33*0.047,2)-0.01</f>
        <v>4381.7699999999995</v>
      </c>
      <c r="I33" s="8">
        <f>ROUND($E33*0.423,2)</f>
        <v>39435.980000000003</v>
      </c>
      <c r="J33" s="13">
        <f t="shared" ref="J33" si="52">E33/K33</f>
        <v>621.52839999999924</v>
      </c>
      <c r="K33" s="14">
        <v>150</v>
      </c>
    </row>
    <row r="34" spans="1:11" ht="15" customHeight="1" x14ac:dyDescent="0.25">
      <c r="A34" s="12">
        <f t="shared" si="6"/>
        <v>45304</v>
      </c>
      <c r="B34" s="8">
        <v>779613.5</v>
      </c>
      <c r="C34" s="8">
        <v>739898.57</v>
      </c>
      <c r="D34" s="8">
        <v>10490</v>
      </c>
      <c r="E34" s="8">
        <f t="shared" ref="E34" si="53">B34-C34-D34</f>
        <v>29224.930000000051</v>
      </c>
      <c r="F34" s="8">
        <f>ROUND($E34*0.36,2)</f>
        <v>10520.97</v>
      </c>
      <c r="G34" s="8">
        <f>ROUND($E34*0.17,2)+0.01</f>
        <v>4968.25</v>
      </c>
      <c r="H34" s="8">
        <f>ROUND($E34*0.047,2)</f>
        <v>1373.57</v>
      </c>
      <c r="I34" s="8">
        <f>ROUND($E34*0.423,2)-0.01</f>
        <v>12362.14</v>
      </c>
      <c r="J34" s="13">
        <f t="shared" ref="J34" si="54">E34/K34</f>
        <v>281.00894230769279</v>
      </c>
      <c r="K34" s="14">
        <v>104</v>
      </c>
    </row>
    <row r="35" spans="1:11" ht="15" customHeight="1" x14ac:dyDescent="0.25">
      <c r="A35" s="12">
        <f t="shared" si="6"/>
        <v>45311</v>
      </c>
      <c r="B35" s="8">
        <v>1162773.8199999998</v>
      </c>
      <c r="C35" s="8">
        <v>1049420.17</v>
      </c>
      <c r="D35" s="8">
        <v>2786</v>
      </c>
      <c r="E35" s="8">
        <f t="shared" ref="E35" si="55">B35-C35-D35</f>
        <v>110567.64999999991</v>
      </c>
      <c r="F35" s="8">
        <f>ROUND($E35*0.36,2)</f>
        <v>39804.35</v>
      </c>
      <c r="G35" s="8">
        <f>ROUND($E35*0.17,2)+0.01</f>
        <v>18796.509999999998</v>
      </c>
      <c r="H35" s="8">
        <f>ROUND($E35*0.047,2)</f>
        <v>5196.68</v>
      </c>
      <c r="I35" s="8">
        <f>ROUND($E35*0.423,2)-0.01</f>
        <v>46770.11</v>
      </c>
      <c r="J35" s="13">
        <f t="shared" ref="J35" si="56">E35/K35</f>
        <v>825.13171641790973</v>
      </c>
      <c r="K35" s="14">
        <v>134</v>
      </c>
    </row>
    <row r="36" spans="1:11" ht="15" customHeight="1" x14ac:dyDescent="0.25">
      <c r="A36" s="12">
        <f t="shared" si="6"/>
        <v>45318</v>
      </c>
      <c r="B36" s="8">
        <v>1466053.85</v>
      </c>
      <c r="C36" s="8">
        <v>1304317.78</v>
      </c>
      <c r="D36" s="8">
        <v>24965</v>
      </c>
      <c r="E36" s="8">
        <f t="shared" ref="E36" si="57">B36-C36-D36</f>
        <v>136771.07000000007</v>
      </c>
      <c r="F36" s="8">
        <f>ROUND($E36*0.36,2)+0.01</f>
        <v>49237.599999999999</v>
      </c>
      <c r="G36" s="8">
        <f>ROUND($E36*0.17,2)</f>
        <v>23251.08</v>
      </c>
      <c r="H36" s="8">
        <f>ROUND($E36*0.047,2)-0.01</f>
        <v>6428.23</v>
      </c>
      <c r="I36" s="8">
        <f>ROUND($E36*0.423,2)</f>
        <v>57854.16</v>
      </c>
      <c r="J36" s="13">
        <f t="shared" ref="J36" si="58">E36/K36</f>
        <v>1179.0609482758625</v>
      </c>
      <c r="K36" s="14">
        <v>116</v>
      </c>
    </row>
    <row r="37" spans="1:11" ht="15" customHeight="1" x14ac:dyDescent="0.25">
      <c r="A37" s="12">
        <f t="shared" si="6"/>
        <v>45325</v>
      </c>
      <c r="B37" s="8">
        <v>737194.87</v>
      </c>
      <c r="C37" s="8">
        <v>660395.87</v>
      </c>
      <c r="D37" s="8">
        <v>22195</v>
      </c>
      <c r="E37" s="8">
        <f t="shared" ref="E37" si="59">B37-C37-D37</f>
        <v>54604</v>
      </c>
      <c r="F37" s="8">
        <f>ROUND($E37*0.36,2)</f>
        <v>19657.439999999999</v>
      </c>
      <c r="G37" s="8">
        <f>ROUND($E37*0.17,2)</f>
        <v>9282.68</v>
      </c>
      <c r="H37" s="8">
        <f>ROUND($E37*0.047,2)</f>
        <v>2566.39</v>
      </c>
      <c r="I37" s="8">
        <f>ROUND($E37*0.423,2)</f>
        <v>23097.49</v>
      </c>
      <c r="J37" s="13">
        <f t="shared" ref="J37" si="60">E37/K37</f>
        <v>568.79166666666663</v>
      </c>
      <c r="K37" s="14">
        <v>96</v>
      </c>
    </row>
    <row r="38" spans="1:11" ht="15" customHeight="1" x14ac:dyDescent="0.25">
      <c r="A38" s="12">
        <f t="shared" si="6"/>
        <v>45332</v>
      </c>
      <c r="B38" s="8">
        <v>1449399.4000000001</v>
      </c>
      <c r="C38" s="8">
        <v>1286810.9599999997</v>
      </c>
      <c r="D38" s="8">
        <v>15100</v>
      </c>
      <c r="E38" s="8">
        <f t="shared" ref="E38" si="61">B38-C38-D38</f>
        <v>147488.44000000041</v>
      </c>
      <c r="F38" s="8">
        <f>ROUND($E38*0.36,2)-0.01</f>
        <v>53095.829999999994</v>
      </c>
      <c r="G38" s="8">
        <f>ROUND($E38*0.17,2)+0.02</f>
        <v>25073.05</v>
      </c>
      <c r="H38" s="8">
        <f>ROUND($E38*0.047,2)</f>
        <v>6931.96</v>
      </c>
      <c r="I38" s="8">
        <f>ROUND($E38*0.423,2)-0.01</f>
        <v>62387.6</v>
      </c>
      <c r="J38" s="13">
        <f t="shared" ref="J38" si="62">E38/K38</f>
        <v>1271.4520689655208</v>
      </c>
      <c r="K38" s="14">
        <v>116</v>
      </c>
    </row>
    <row r="39" spans="1:11" ht="15" customHeight="1" x14ac:dyDescent="0.25">
      <c r="A39" s="12">
        <f t="shared" si="6"/>
        <v>45339</v>
      </c>
      <c r="B39" s="8">
        <v>722474.96</v>
      </c>
      <c r="C39" s="8">
        <v>657252.3899999999</v>
      </c>
      <c r="D39" s="8">
        <v>12410</v>
      </c>
      <c r="E39" s="8">
        <f t="shared" ref="E39" si="63">B39-C39-D39</f>
        <v>52812.570000000065</v>
      </c>
      <c r="F39" s="8">
        <f>ROUND($E39*0.36,2)-0.02</f>
        <v>19012.509999999998</v>
      </c>
      <c r="G39" s="8">
        <f>ROUND($E39*0.17,2)+0.01</f>
        <v>8978.15</v>
      </c>
      <c r="H39" s="8">
        <f>ROUND($E39*0.047,2)</f>
        <v>2482.19</v>
      </c>
      <c r="I39" s="8">
        <f>ROUND($E39*0.423,2)</f>
        <v>22339.72</v>
      </c>
      <c r="J39" s="13">
        <f t="shared" ref="J39" si="64">E39/K39</f>
        <v>443.80310924369803</v>
      </c>
      <c r="K39" s="14">
        <v>119</v>
      </c>
    </row>
    <row r="40" spans="1:11" ht="15" customHeight="1" x14ac:dyDescent="0.25">
      <c r="A40" s="12">
        <f t="shared" si="6"/>
        <v>45346</v>
      </c>
      <c r="B40" s="8">
        <v>1680270.52</v>
      </c>
      <c r="C40" s="8">
        <v>1553137.6600000001</v>
      </c>
      <c r="D40" s="8">
        <v>22486</v>
      </c>
      <c r="E40" s="8">
        <f t="shared" ref="E40" si="65">B40-C40-D40</f>
        <v>104646.85999999987</v>
      </c>
      <c r="F40" s="8">
        <f>ROUND($E40*0.36,2)-0.02</f>
        <v>37672.850000000006</v>
      </c>
      <c r="G40" s="8">
        <f>ROUND($E40*0.17,2)+0.01</f>
        <v>17789.98</v>
      </c>
      <c r="H40" s="8">
        <f>ROUND($E40*0.047,2)</f>
        <v>4918.3999999999996</v>
      </c>
      <c r="I40" s="8">
        <f>ROUND($E40*0.423,2)+0.01</f>
        <v>44265.630000000005</v>
      </c>
      <c r="J40" s="13">
        <f t="shared" ref="J40" si="66">E40/K40</f>
        <v>775.16192592592495</v>
      </c>
      <c r="K40" s="14">
        <v>135</v>
      </c>
    </row>
    <row r="41" spans="1:11" ht="15" customHeight="1" x14ac:dyDescent="0.25">
      <c r="A41" s="12">
        <f t="shared" si="6"/>
        <v>45353</v>
      </c>
      <c r="B41" s="8">
        <v>577169.57000000007</v>
      </c>
      <c r="C41" s="8">
        <v>523581.32999999996</v>
      </c>
      <c r="D41" s="8">
        <v>11810</v>
      </c>
      <c r="E41" s="8">
        <f t="shared" ref="E41" si="67">B41-C41-D41</f>
        <v>41778.240000000107</v>
      </c>
      <c r="F41" s="8">
        <f>ROUND($E41*0.36,2)-0.04</f>
        <v>15040.13</v>
      </c>
      <c r="G41" s="8">
        <f>ROUND($E41*0.17,2)+0.01</f>
        <v>7102.31</v>
      </c>
      <c r="H41" s="8">
        <f>ROUND($E41*0.047,2)+0.01</f>
        <v>1963.59</v>
      </c>
      <c r="I41" s="8">
        <f>ROUND($E41*0.423,2)+0.01</f>
        <v>17672.21</v>
      </c>
      <c r="J41" s="13">
        <f t="shared" ref="J41" si="68">E41/K41</f>
        <v>435.19000000000113</v>
      </c>
      <c r="K41" s="14">
        <v>96</v>
      </c>
    </row>
    <row r="42" spans="1:11" ht="15" customHeight="1" x14ac:dyDescent="0.25">
      <c r="A42" s="12">
        <f t="shared" si="6"/>
        <v>45360</v>
      </c>
      <c r="B42" s="8">
        <v>575105.54</v>
      </c>
      <c r="C42" s="8">
        <v>516770.72</v>
      </c>
      <c r="D42" s="8">
        <v>7934</v>
      </c>
      <c r="E42" s="8">
        <f t="shared" ref="E42" si="69">B42-C42-D42</f>
        <v>50400.820000000065</v>
      </c>
      <c r="F42" s="8">
        <f>ROUND($E42*0.36,2)-0.03</f>
        <v>18144.27</v>
      </c>
      <c r="G42" s="8">
        <f>ROUND($E42*0.17,2)</f>
        <v>8568.14</v>
      </c>
      <c r="H42" s="8">
        <f>ROUND($E42*0.047,2)+0.01</f>
        <v>2368.8500000000004</v>
      </c>
      <c r="I42" s="8">
        <f>ROUND($E42*0.423,2)+0.01</f>
        <v>21319.559999999998</v>
      </c>
      <c r="J42" s="13">
        <f t="shared" ref="J42" si="70">E42/K42</f>
        <v>525.00854166666738</v>
      </c>
      <c r="K42" s="14">
        <v>96</v>
      </c>
    </row>
    <row r="43" spans="1:11" ht="15" customHeight="1" x14ac:dyDescent="0.25">
      <c r="A43" s="12">
        <f t="shared" si="6"/>
        <v>45367</v>
      </c>
      <c r="B43" s="8">
        <v>575917.17999999993</v>
      </c>
      <c r="C43" s="8">
        <v>524940.38</v>
      </c>
      <c r="D43" s="8">
        <v>12270</v>
      </c>
      <c r="E43" s="8">
        <f t="shared" ref="E43" si="71">B43-C43-D43</f>
        <v>38706.79999999993</v>
      </c>
      <c r="F43" s="8">
        <f>ROUND($E43*0.36,2)-0.02</f>
        <v>13934.43</v>
      </c>
      <c r="G43" s="8">
        <f>ROUND($E43*0.17,2)</f>
        <v>6580.16</v>
      </c>
      <c r="H43" s="8">
        <f>ROUND($E43*0.047,2)</f>
        <v>1819.22</v>
      </c>
      <c r="I43" s="8">
        <f>ROUND($E43*0.423,2)+0.01</f>
        <v>16372.99</v>
      </c>
      <c r="J43" s="13">
        <f t="shared" ref="J43" si="72">E43/K43</f>
        <v>496.24102564102475</v>
      </c>
      <c r="K43" s="14">
        <v>78</v>
      </c>
    </row>
    <row r="44" spans="1:11" ht="15" customHeight="1" x14ac:dyDescent="0.25">
      <c r="A44" s="12">
        <f t="shared" si="6"/>
        <v>45374</v>
      </c>
      <c r="B44" s="8">
        <v>1458928.78</v>
      </c>
      <c r="C44" s="8">
        <v>1356370.83</v>
      </c>
      <c r="D44" s="8">
        <v>32611</v>
      </c>
      <c r="E44" s="8">
        <f t="shared" ref="E44" si="73">B44-C44-D44</f>
        <v>69946.949999999953</v>
      </c>
      <c r="F44" s="8">
        <f>ROUND($E44*0.36,2)-0.02</f>
        <v>25180.880000000001</v>
      </c>
      <c r="G44" s="8">
        <f>ROUND($E44*0.17,2)</f>
        <v>11890.98</v>
      </c>
      <c r="H44" s="8">
        <f>ROUND($E44*0.047,2)</f>
        <v>3287.51</v>
      </c>
      <c r="I44" s="8">
        <f>ROUND($E44*0.423,2)+0.02</f>
        <v>29587.58</v>
      </c>
      <c r="J44" s="13">
        <f t="shared" ref="J44" si="74">E44/K44</f>
        <v>630.1527027027023</v>
      </c>
      <c r="K44" s="14">
        <v>111</v>
      </c>
    </row>
    <row r="45" spans="1:11" ht="15" customHeight="1" x14ac:dyDescent="0.25">
      <c r="A45" s="12">
        <f t="shared" si="6"/>
        <v>45381</v>
      </c>
      <c r="B45" s="8">
        <v>883741.03</v>
      </c>
      <c r="C45" s="8">
        <v>839214.76</v>
      </c>
      <c r="D45" s="8">
        <v>8260</v>
      </c>
      <c r="E45" s="8">
        <f t="shared" ref="E45" si="75">B45-C45-D45</f>
        <v>36266.270000000019</v>
      </c>
      <c r="F45" s="8">
        <f>ROUND($E45*0.36,2)</f>
        <v>13055.86</v>
      </c>
      <c r="G45" s="8">
        <f>ROUND($E45*0.17,2)</f>
        <v>6165.27</v>
      </c>
      <c r="H45" s="8">
        <f>ROUND($E45*0.047,2)</f>
        <v>1704.51</v>
      </c>
      <c r="I45" s="8">
        <f>ROUND($E45*0.423,2)</f>
        <v>15340.63</v>
      </c>
      <c r="J45" s="13">
        <f t="shared" ref="J45" si="76">E45/K45</f>
        <v>329.69336363636381</v>
      </c>
      <c r="K45" s="14">
        <v>110</v>
      </c>
    </row>
    <row r="46" spans="1:11" ht="15" customHeight="1" x14ac:dyDescent="0.25">
      <c r="A46" s="12">
        <f t="shared" si="6"/>
        <v>45388</v>
      </c>
      <c r="B46" s="8">
        <v>1265505.8500000001</v>
      </c>
      <c r="C46" s="8">
        <v>1214065.3900000001</v>
      </c>
      <c r="D46" s="8">
        <v>27925</v>
      </c>
      <c r="E46" s="8">
        <f t="shared" ref="E46" si="77">B46-C46-D46</f>
        <v>23515.459999999963</v>
      </c>
      <c r="F46" s="8">
        <f>ROUND($E46*0.36,2)+0.04</f>
        <v>8465.61</v>
      </c>
      <c r="G46" s="8">
        <f>ROUND($E46*0.17,2)-0.02</f>
        <v>3997.61</v>
      </c>
      <c r="H46" s="8">
        <f>ROUND($E46*0.047,2)-0.02</f>
        <v>1105.21</v>
      </c>
      <c r="I46" s="8">
        <f>ROUND($E46*0.423,2)-0.01</f>
        <v>9947.0300000000007</v>
      </c>
      <c r="J46" s="13">
        <f t="shared" ref="J46" si="78">E46/K46</f>
        <v>199.2835593220336</v>
      </c>
      <c r="K46" s="14">
        <v>118</v>
      </c>
    </row>
    <row r="47" spans="1:11" ht="15" customHeight="1" x14ac:dyDescent="0.25">
      <c r="A47" s="12">
        <f t="shared" si="6"/>
        <v>45395</v>
      </c>
      <c r="B47" s="8">
        <v>484627.87</v>
      </c>
      <c r="C47" s="8">
        <v>443458.4</v>
      </c>
      <c r="D47" s="8">
        <v>4875</v>
      </c>
      <c r="E47" s="8">
        <f t="shared" ref="E47" si="79">B47-C47-D47</f>
        <v>36294.469999999972</v>
      </c>
      <c r="F47" s="8">
        <f>ROUND($E47*0.36,2)</f>
        <v>13066.01</v>
      </c>
      <c r="G47" s="8">
        <f>ROUND($E47*0.17,2)</f>
        <v>6170.06</v>
      </c>
      <c r="H47" s="8">
        <f>ROUND($E47*0.047,2)</f>
        <v>1705.84</v>
      </c>
      <c r="I47" s="8">
        <f>ROUND($E47*0.423,2)</f>
        <v>15352.56</v>
      </c>
      <c r="J47" s="13">
        <f t="shared" ref="J47" si="80">E47/K47</f>
        <v>374.16979381443269</v>
      </c>
      <c r="K47" s="14">
        <v>97</v>
      </c>
    </row>
    <row r="48" spans="1:11" ht="15" customHeight="1" x14ac:dyDescent="0.25">
      <c r="A48" s="12">
        <f t="shared" si="6"/>
        <v>45402</v>
      </c>
      <c r="B48" s="8">
        <v>910883.8</v>
      </c>
      <c r="C48" s="8">
        <v>888180.79</v>
      </c>
      <c r="D48" s="8">
        <v>24495</v>
      </c>
      <c r="E48" s="8">
        <f t="shared" ref="E48" si="81">B48-C48-D48</f>
        <v>-1791.9899999999907</v>
      </c>
      <c r="F48" s="8">
        <f>ROUND($E48*0.36,2)-0.02</f>
        <v>-645.14</v>
      </c>
      <c r="G48" s="8">
        <f>ROUND($E48*0.17,2)+0.01</f>
        <v>-304.63</v>
      </c>
      <c r="H48" s="8">
        <f>ROUND($E48*0.047,2)</f>
        <v>-84.22</v>
      </c>
      <c r="I48" s="8">
        <f>ROUND($E48*0.423,2)+0.01</f>
        <v>-758</v>
      </c>
      <c r="J48" s="13">
        <f t="shared" ref="J48" si="82">E48/K48</f>
        <v>-16.440275229357713</v>
      </c>
      <c r="K48" s="14">
        <v>109</v>
      </c>
    </row>
    <row r="49" spans="1:11" ht="15" customHeight="1" x14ac:dyDescent="0.25">
      <c r="A49" s="12">
        <f t="shared" si="6"/>
        <v>45409</v>
      </c>
      <c r="B49" s="8">
        <v>1081060.6200000001</v>
      </c>
      <c r="C49" s="8">
        <v>971327.54</v>
      </c>
      <c r="D49" s="8">
        <v>9010</v>
      </c>
      <c r="E49" s="8">
        <f t="shared" ref="E49" si="83">B49-C49-D49</f>
        <v>100723.08000000007</v>
      </c>
      <c r="F49" s="8">
        <f>ROUND($E49*0.36,2)+0.02</f>
        <v>36260.329999999994</v>
      </c>
      <c r="G49" s="8">
        <f>ROUND($E49*0.17,2)-0.01</f>
        <v>17122.91</v>
      </c>
      <c r="H49" s="8">
        <f>ROUND($E49*0.047,2)</f>
        <v>4733.9799999999996</v>
      </c>
      <c r="I49" s="8">
        <f>ROUND($E49*0.423,2)</f>
        <v>42605.86</v>
      </c>
      <c r="J49" s="13">
        <f t="shared" ref="J49" si="84">E49/K49</f>
        <v>818.88682926829324</v>
      </c>
      <c r="K49" s="14">
        <v>123</v>
      </c>
    </row>
    <row r="50" spans="1:11" ht="15" customHeight="1" x14ac:dyDescent="0.25">
      <c r="A50" s="12">
        <f t="shared" si="6"/>
        <v>45416</v>
      </c>
      <c r="B50" s="8">
        <v>884767.95</v>
      </c>
      <c r="C50" s="8">
        <v>768124.37999999989</v>
      </c>
      <c r="D50" s="8">
        <v>8940</v>
      </c>
      <c r="E50" s="8">
        <f t="shared" ref="E50" si="85">B50-C50-D50</f>
        <v>107703.57000000007</v>
      </c>
      <c r="F50" s="8">
        <f>ROUND($E50*0.36,2)-0.02</f>
        <v>38773.270000000004</v>
      </c>
      <c r="G50" s="8">
        <f>ROUND($E50*0.17,2)-0.01</f>
        <v>18309.600000000002</v>
      </c>
      <c r="H50" s="8">
        <f>ROUND($E50*0.047,2)+0.01</f>
        <v>5062.08</v>
      </c>
      <c r="I50" s="8">
        <f>ROUND($E50*0.423,2)+0.01</f>
        <v>45558.62</v>
      </c>
      <c r="J50" s="13">
        <f t="shared" ref="J50" si="86">E50/K50</f>
        <v>1066.3719801980205</v>
      </c>
      <c r="K50" s="14">
        <v>101</v>
      </c>
    </row>
    <row r="51" spans="1:11" ht="15" customHeight="1" x14ac:dyDescent="0.25">
      <c r="A51" s="12">
        <f t="shared" si="6"/>
        <v>45423</v>
      </c>
      <c r="B51" s="8">
        <v>629296.59</v>
      </c>
      <c r="C51" s="8">
        <v>555857.11</v>
      </c>
      <c r="D51" s="8">
        <v>6967</v>
      </c>
      <c r="E51" s="8">
        <f t="shared" ref="E51" si="87">B51-C51-D51</f>
        <v>66472.479999999981</v>
      </c>
      <c r="F51" s="8">
        <f>ROUND($E51*0.36,2)+0.01</f>
        <v>23930.1</v>
      </c>
      <c r="G51" s="8">
        <f>ROUND($E51*0.17,2)</f>
        <v>11300.32</v>
      </c>
      <c r="H51" s="8">
        <f>ROUND($E51*0.047,2)-0.01</f>
        <v>3124.2</v>
      </c>
      <c r="I51" s="8">
        <f>ROUND($E51*0.423,2)</f>
        <v>28117.86</v>
      </c>
      <c r="J51" s="13">
        <f t="shared" ref="J51" si="88">E51/K51</f>
        <v>578.02156521739118</v>
      </c>
      <c r="K51" s="14">
        <v>115</v>
      </c>
    </row>
    <row r="52" spans="1:11" ht="15" customHeight="1" x14ac:dyDescent="0.25">
      <c r="A52" s="12">
        <f t="shared" si="6"/>
        <v>45430</v>
      </c>
      <c r="B52" s="8">
        <v>1048578.98</v>
      </c>
      <c r="C52" s="8">
        <v>977584.31</v>
      </c>
      <c r="D52" s="8">
        <v>32028</v>
      </c>
      <c r="E52" s="8">
        <f t="shared" ref="E52" si="89">B52-C52-D52</f>
        <v>38966.669999999925</v>
      </c>
      <c r="F52" s="8">
        <f>ROUND($E52*0.36,2)</f>
        <v>14028</v>
      </c>
      <c r="G52" s="8">
        <f>ROUND($E52*0.17,2)-0.01</f>
        <v>6624.32</v>
      </c>
      <c r="H52" s="8">
        <f>ROUND($E52*0.047,2)+0.01</f>
        <v>1831.44</v>
      </c>
      <c r="I52" s="8">
        <f>ROUND($E52*0.423,2)+0.01</f>
        <v>16482.91</v>
      </c>
      <c r="J52" s="13">
        <f t="shared" ref="J52" si="90">E52/K52</f>
        <v>330.22601694915193</v>
      </c>
      <c r="K52" s="14">
        <v>118</v>
      </c>
    </row>
    <row r="53" spans="1:11" ht="15" customHeight="1" x14ac:dyDescent="0.25">
      <c r="A53" s="12">
        <f t="shared" si="6"/>
        <v>45437</v>
      </c>
      <c r="B53" s="8">
        <v>1142134.81</v>
      </c>
      <c r="C53" s="8">
        <v>1082999.1399999999</v>
      </c>
      <c r="D53" s="8">
        <v>12412</v>
      </c>
      <c r="E53" s="8">
        <f t="shared" ref="E53" si="91">B53-C53-D53</f>
        <v>46723.670000000158</v>
      </c>
      <c r="F53" s="8">
        <f>ROUND($E53*0.36,2)</f>
        <v>16820.52</v>
      </c>
      <c r="G53" s="8">
        <f>ROUND($E53*0.17,2)+0.01</f>
        <v>7943.0300000000007</v>
      </c>
      <c r="H53" s="8">
        <f>ROUND($E53*0.047,2)</f>
        <v>2196.0100000000002</v>
      </c>
      <c r="I53" s="8">
        <f>ROUND($E53*0.423,2)</f>
        <v>19764.11</v>
      </c>
      <c r="J53" s="13">
        <f t="shared" ref="J53" si="92">E53/K53</f>
        <v>376.8037903225819</v>
      </c>
      <c r="K53" s="14">
        <v>124</v>
      </c>
    </row>
    <row r="54" spans="1:11" ht="15" customHeight="1" x14ac:dyDescent="0.25">
      <c r="A54" s="12">
        <f t="shared" si="6"/>
        <v>45444</v>
      </c>
      <c r="B54" s="8">
        <v>731833.32</v>
      </c>
      <c r="C54" s="8">
        <v>701129.47</v>
      </c>
      <c r="D54" s="8">
        <v>12100</v>
      </c>
      <c r="E54" s="8">
        <f t="shared" ref="E54" si="93">B54-C54-D54</f>
        <v>18603.849999999977</v>
      </c>
      <c r="F54" s="8">
        <f>ROUND($E54*0.36,2)</f>
        <v>6697.39</v>
      </c>
      <c r="G54" s="8">
        <f t="shared" ref="G54:G59" si="94">ROUND($E54*0.17,2)</f>
        <v>3162.65</v>
      </c>
      <c r="H54" s="8">
        <f>ROUND($E54*0.047,2)</f>
        <v>874.38</v>
      </c>
      <c r="I54" s="8">
        <f>ROUND($E54*0.423,2)</f>
        <v>7869.43</v>
      </c>
      <c r="J54" s="13">
        <f t="shared" ref="J54" si="95">E54/K54</f>
        <v>169.12590909090889</v>
      </c>
      <c r="K54" s="14">
        <v>110</v>
      </c>
    </row>
    <row r="55" spans="1:11" ht="15" customHeight="1" x14ac:dyDescent="0.25">
      <c r="A55" s="12">
        <f t="shared" si="6"/>
        <v>45451</v>
      </c>
      <c r="B55" s="8">
        <v>390470.68</v>
      </c>
      <c r="C55" s="8">
        <v>362813.22</v>
      </c>
      <c r="D55" s="8">
        <v>6030</v>
      </c>
      <c r="E55" s="8">
        <f t="shared" ref="E55" si="96">B55-C55-D55</f>
        <v>21627.460000000021</v>
      </c>
      <c r="F55" s="8">
        <f>ROUND($E55*0.36,2)</f>
        <v>7785.89</v>
      </c>
      <c r="G55" s="8">
        <f t="shared" si="94"/>
        <v>3676.67</v>
      </c>
      <c r="H55" s="8">
        <f>ROUND($E55*0.047,2)</f>
        <v>1016.49</v>
      </c>
      <c r="I55" s="8">
        <f>ROUND($E55*0.423,2)-0.01</f>
        <v>9148.41</v>
      </c>
      <c r="J55" s="13">
        <f t="shared" ref="J55" si="97">E55/K55</f>
        <v>209.97533980582546</v>
      </c>
      <c r="K55" s="14">
        <v>103</v>
      </c>
    </row>
    <row r="56" spans="1:11" ht="15" customHeight="1" x14ac:dyDescent="0.25">
      <c r="A56" s="12">
        <f t="shared" si="6"/>
        <v>45458</v>
      </c>
      <c r="B56" s="8">
        <v>546609.57999999996</v>
      </c>
      <c r="C56" s="8">
        <v>515408.30999999994</v>
      </c>
      <c r="D56" s="8">
        <v>7505</v>
      </c>
      <c r="E56" s="8">
        <f t="shared" ref="E56" si="98">B56-C56-D56</f>
        <v>23696.270000000019</v>
      </c>
      <c r="F56" s="8">
        <f>ROUND($E56*0.36,2)</f>
        <v>8530.66</v>
      </c>
      <c r="G56" s="8">
        <f t="shared" si="94"/>
        <v>4028.37</v>
      </c>
      <c r="H56" s="8">
        <f>ROUND($E56*0.047,2)</f>
        <v>1113.72</v>
      </c>
      <c r="I56" s="8">
        <f>ROUND($E56*0.423,2)</f>
        <v>10023.52</v>
      </c>
      <c r="J56" s="13">
        <f t="shared" ref="J56" si="99">E56/K56</f>
        <v>230.06087378640794</v>
      </c>
      <c r="K56" s="14">
        <v>103</v>
      </c>
    </row>
    <row r="57" spans="1:11" ht="15" customHeight="1" x14ac:dyDescent="0.25">
      <c r="A57" s="12">
        <f t="shared" si="6"/>
        <v>45465</v>
      </c>
      <c r="B57" s="8">
        <v>912679</v>
      </c>
      <c r="C57" s="8">
        <v>866173.91999999993</v>
      </c>
      <c r="D57" s="8">
        <v>10743</v>
      </c>
      <c r="E57" s="8">
        <f t="shared" ref="E57" si="100">B57-C57-D57</f>
        <v>35762.080000000075</v>
      </c>
      <c r="F57" s="8">
        <f>ROUND($E57*0.36,2)+0.02</f>
        <v>12874.37</v>
      </c>
      <c r="G57" s="8">
        <f t="shared" si="94"/>
        <v>6079.55</v>
      </c>
      <c r="H57" s="8">
        <f>ROUND($E57*0.047,2)-0.01</f>
        <v>1680.81</v>
      </c>
      <c r="I57" s="8">
        <f>ROUND($E57*0.423,2)-0.01</f>
        <v>15127.35</v>
      </c>
      <c r="J57" s="13">
        <f t="shared" ref="J57" si="101">E57/K57</f>
        <v>325.10981818181887</v>
      </c>
      <c r="K57" s="14">
        <v>110</v>
      </c>
    </row>
    <row r="58" spans="1:11" ht="15" customHeight="1" x14ac:dyDescent="0.25">
      <c r="A58" s="12">
        <f t="shared" si="6"/>
        <v>45472</v>
      </c>
      <c r="B58" s="8">
        <v>1075288.0899999999</v>
      </c>
      <c r="C58" s="8">
        <v>928837.45</v>
      </c>
      <c r="D58" s="8">
        <v>34603</v>
      </c>
      <c r="E58" s="8">
        <f t="shared" ref="E58" si="102">B58-C58-D58</f>
        <v>111847.6399999999</v>
      </c>
      <c r="F58" s="8">
        <f>ROUND($E58*0.36,2)+0.02</f>
        <v>40265.17</v>
      </c>
      <c r="G58" s="8">
        <f t="shared" si="94"/>
        <v>19014.099999999999</v>
      </c>
      <c r="H58" s="8">
        <f>ROUND($E58*0.047,2)</f>
        <v>5256.84</v>
      </c>
      <c r="I58" s="8">
        <f>ROUND($E58*0.423,2)-0.02</f>
        <v>47311.530000000006</v>
      </c>
      <c r="J58" s="13">
        <f t="shared" ref="J58" si="103">E58/K58</f>
        <v>1075.4580769230759</v>
      </c>
      <c r="K58" s="14">
        <v>104</v>
      </c>
    </row>
    <row r="59" spans="1:11" ht="15" customHeight="1" x14ac:dyDescent="0.25">
      <c r="A59" s="12" t="s">
        <v>33</v>
      </c>
      <c r="B59" s="8">
        <v>112941.25</v>
      </c>
      <c r="C59" s="8">
        <v>97608.78</v>
      </c>
      <c r="D59" s="8">
        <v>6110</v>
      </c>
      <c r="E59" s="8">
        <f t="shared" ref="E59" si="104">B59-C59-D59</f>
        <v>9222.4700000000012</v>
      </c>
      <c r="F59" s="8">
        <f>ROUND($E59*0.36,2)</f>
        <v>3320.09</v>
      </c>
      <c r="G59" s="8">
        <f t="shared" si="94"/>
        <v>1567.82</v>
      </c>
      <c r="H59" s="8">
        <f>ROUND($E59*0.047,2)</f>
        <v>433.46</v>
      </c>
      <c r="I59" s="8">
        <f>ROUND($E59*0.423,2)</f>
        <v>3901.1</v>
      </c>
      <c r="J59" s="13">
        <f t="shared" ref="J59" si="105">E59/K59</f>
        <v>86.191308411214962</v>
      </c>
      <c r="K59" s="14">
        <v>107</v>
      </c>
    </row>
    <row r="60" spans="1:11" ht="15" customHeight="1" x14ac:dyDescent="0.25">
      <c r="A60" s="12"/>
      <c r="B60" s="8"/>
      <c r="C60" s="8"/>
      <c r="D60" s="8"/>
      <c r="E60" s="8"/>
      <c r="F60" s="8"/>
      <c r="G60" s="8"/>
      <c r="H60" s="8"/>
      <c r="I60" s="8"/>
      <c r="J60" s="13"/>
      <c r="K60" s="14"/>
    </row>
    <row r="61" spans="1:11" ht="15" customHeight="1" thickBot="1" x14ac:dyDescent="0.3">
      <c r="B61" s="9">
        <f t="shared" ref="B61:I61" si="106">SUM(B6:B60)</f>
        <v>54665875.810000002</v>
      </c>
      <c r="C61" s="9">
        <f t="shared" si="106"/>
        <v>49678505.260000005</v>
      </c>
      <c r="D61" s="9">
        <f t="shared" si="106"/>
        <v>970356</v>
      </c>
      <c r="E61" s="9">
        <f t="shared" si="106"/>
        <v>4017014.5500000012</v>
      </c>
      <c r="F61" s="9">
        <f t="shared" si="106"/>
        <v>1446125.16</v>
      </c>
      <c r="G61" s="9">
        <f t="shared" si="106"/>
        <v>682892.52000000014</v>
      </c>
      <c r="H61" s="9">
        <f t="shared" si="106"/>
        <v>188799.68000000002</v>
      </c>
      <c r="I61" s="9">
        <f t="shared" si="106"/>
        <v>1699197.1900000002</v>
      </c>
      <c r="J61" s="15">
        <f>AVERAGE(J6:J60)</f>
        <v>616.74666975808782</v>
      </c>
      <c r="K61" s="16">
        <f>AVERAGE(K6:K60)</f>
        <v>118.74074074074075</v>
      </c>
    </row>
    <row r="62" spans="1:11" ht="15" customHeight="1" thickTop="1" x14ac:dyDescent="0.25"/>
    <row r="63" spans="1:11" ht="15" customHeight="1" x14ac:dyDescent="0.25">
      <c r="A63" s="19" t="s">
        <v>29</v>
      </c>
    </row>
    <row r="64" spans="1:11" ht="15" customHeight="1" x14ac:dyDescent="0.25">
      <c r="A64" s="19" t="s">
        <v>34</v>
      </c>
    </row>
    <row r="65" spans="1:1" ht="15" customHeight="1" x14ac:dyDescent="0.25">
      <c r="A65" s="10" t="s">
        <v>35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2024-01-08T18:59:02Z</cp:lastPrinted>
  <dcterms:created xsi:type="dcterms:W3CDTF">2017-06-16T18:01:39Z</dcterms:created>
  <dcterms:modified xsi:type="dcterms:W3CDTF">2024-07-11T12:54:06Z</dcterms:modified>
</cp:coreProperties>
</file>